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tabRatio="834" firstSheet="1" activeTab="9"/>
  </bookViews>
  <sheets>
    <sheet name="superv44" sheetId="1" r:id="rId1"/>
    <sheet name="fiscal1236d" sheetId="2" r:id="rId2"/>
    <sheet name="fiscal1236n" sheetId="3" r:id="rId3"/>
    <sheet name="vig44ssasoc" sheetId="4" r:id="rId4"/>
    <sheet name="vig44ssatat" sheetId="5" r:id="rId5"/>
    <sheet name="vig1236dssa" sheetId="6" r:id="rId6"/>
    <sheet name="vig1236nssa" sheetId="7" r:id="rId7"/>
    <sheet name="vig44int" sheetId="8" r:id="rId8"/>
    <sheet name="vig1236nint" sheetId="9" r:id="rId9"/>
    <sheet name="vig1236dint" sheetId="10" r:id="rId10"/>
    <sheet name="vig44ssatat_ad" sheetId="11" r:id="rId11"/>
    <sheet name="vig44int_ad" sheetId="16" r:id="rId12"/>
    <sheet name="vig1236dint_ad" sheetId="12" r:id="rId13"/>
    <sheet name="vig1236nint_ad" sheetId="13" r:id="rId14"/>
    <sheet name="horaextra" sheetId="14" r:id="rId15"/>
    <sheet name="total_proposta" sheetId="15" r:id="rId16"/>
  </sheets>
  <definedNames>
    <definedName name="_xlnm.Print_Area" localSheetId="15">total_proposta!$A$1:$H$65</definedName>
    <definedName name="_xlnm.Print_Titles" localSheetId="14">horaextra!$1:$2</definedName>
    <definedName name="_xlnm.Print_Titles" localSheetId="15">total_proposta!$1:$9</definedName>
  </definedNames>
  <calcPr calcId="145621"/>
</workbook>
</file>

<file path=xl/calcChain.xml><?xml version="1.0" encoding="utf-8"?>
<calcChain xmlns="http://schemas.openxmlformats.org/spreadsheetml/2006/main">
  <c r="D57" i="11" l="1"/>
  <c r="C98" i="16"/>
  <c r="C97" i="16"/>
  <c r="C96" i="16"/>
  <c r="C95" i="16"/>
  <c r="C94" i="16"/>
  <c r="I35" i="14"/>
  <c r="G35" i="14"/>
  <c r="E35" i="14"/>
  <c r="C35" i="14"/>
  <c r="B46" i="15"/>
  <c r="B42" i="15"/>
  <c r="D126" i="1" l="1"/>
  <c r="D126" i="2"/>
  <c r="D126" i="3"/>
  <c r="D126" i="4"/>
  <c r="D126" i="5"/>
  <c r="D126" i="6"/>
  <c r="D126" i="7"/>
  <c r="D126" i="8"/>
  <c r="D126" i="9"/>
  <c r="D126" i="10"/>
  <c r="D126" i="11"/>
  <c r="D126" i="16"/>
  <c r="D126" i="12"/>
  <c r="D126" i="13"/>
  <c r="C141" i="16" l="1"/>
  <c r="C134" i="16"/>
  <c r="D151" i="16"/>
  <c r="C84" i="16"/>
  <c r="C83" i="16"/>
  <c r="C82" i="16"/>
  <c r="C81" i="16"/>
  <c r="C79" i="16"/>
  <c r="D58" i="16"/>
  <c r="D57" i="16"/>
  <c r="D64" i="16" s="1"/>
  <c r="D72" i="16" s="1"/>
  <c r="C51" i="16"/>
  <c r="D36" i="16"/>
  <c r="C36" i="16"/>
  <c r="C35" i="16"/>
  <c r="C34" i="16"/>
  <c r="C37" i="16" s="1"/>
  <c r="D26" i="16"/>
  <c r="D84" i="16" s="1"/>
  <c r="D20" i="16"/>
  <c r="D106" i="2"/>
  <c r="D106" i="3"/>
  <c r="D106" i="4"/>
  <c r="D106" i="5"/>
  <c r="D106" i="6"/>
  <c r="D106" i="7"/>
  <c r="D106" i="8"/>
  <c r="D106" i="9"/>
  <c r="D106" i="10"/>
  <c r="D106" i="1"/>
  <c r="D58" i="2"/>
  <c r="D58" i="3"/>
  <c r="D58" i="6"/>
  <c r="D58" i="7"/>
  <c r="D58" i="9"/>
  <c r="D58" i="10"/>
  <c r="D58" i="12"/>
  <c r="D58" i="13"/>
  <c r="D58" i="1"/>
  <c r="D58" i="4"/>
  <c r="D58" i="5"/>
  <c r="D58" i="8"/>
  <c r="D58" i="11"/>
  <c r="D34" i="16" l="1"/>
  <c r="D81" i="16"/>
  <c r="D82" i="16"/>
  <c r="D83" i="16" s="1"/>
  <c r="D147" i="16"/>
  <c r="D79" i="16"/>
  <c r="D35" i="16"/>
  <c r="D57" i="10"/>
  <c r="D57" i="12"/>
  <c r="D57" i="13"/>
  <c r="D57" i="9"/>
  <c r="D57" i="8"/>
  <c r="D80" i="16" l="1"/>
  <c r="D85" i="16"/>
  <c r="D149" i="16" s="1"/>
  <c r="D37" i="16"/>
  <c r="D62" i="6"/>
  <c r="D62" i="10"/>
  <c r="D62" i="2"/>
  <c r="C95" i="1"/>
  <c r="C95" i="2"/>
  <c r="C95" i="3"/>
  <c r="C95" i="4"/>
  <c r="C95" i="5"/>
  <c r="C95" i="6"/>
  <c r="C95" i="7"/>
  <c r="C95" i="8"/>
  <c r="C95" i="9"/>
  <c r="C95" i="10"/>
  <c r="C95" i="11"/>
  <c r="C95" i="12"/>
  <c r="C84" i="12"/>
  <c r="C82" i="12"/>
  <c r="C81" i="12"/>
  <c r="C79" i="12"/>
  <c r="C84" i="13"/>
  <c r="C82" i="13"/>
  <c r="C81" i="13"/>
  <c r="C79" i="13"/>
  <c r="C84" i="11"/>
  <c r="C82" i="11"/>
  <c r="C81" i="11"/>
  <c r="C79" i="11"/>
  <c r="D70" i="16" l="1"/>
  <c r="D49" i="16"/>
  <c r="D50" i="16"/>
  <c r="D48" i="16"/>
  <c r="D45" i="16"/>
  <c r="D46" i="16"/>
  <c r="D47" i="16"/>
  <c r="D43" i="16"/>
  <c r="D44" i="16"/>
  <c r="B51" i="15"/>
  <c r="B50" i="15"/>
  <c r="B38" i="15"/>
  <c r="B34" i="15"/>
  <c r="C98" i="13"/>
  <c r="C97" i="13"/>
  <c r="C96" i="13"/>
  <c r="C95" i="13"/>
  <c r="C94" i="13"/>
  <c r="C98" i="12"/>
  <c r="C97" i="12"/>
  <c r="C96" i="12"/>
  <c r="C94" i="12"/>
  <c r="C98" i="11"/>
  <c r="C97" i="11"/>
  <c r="C96" i="11"/>
  <c r="C94" i="11"/>
  <c r="F29" i="15"/>
  <c r="F26" i="15"/>
  <c r="F23" i="15"/>
  <c r="B29" i="15"/>
  <c r="B26" i="15"/>
  <c r="B23" i="15"/>
  <c r="B18" i="15"/>
  <c r="B17" i="15"/>
  <c r="B16" i="15"/>
  <c r="B15" i="15"/>
  <c r="B14" i="15"/>
  <c r="F18" i="15"/>
  <c r="F17" i="15"/>
  <c r="F16" i="15"/>
  <c r="F15" i="15"/>
  <c r="F14" i="15"/>
  <c r="F13" i="15"/>
  <c r="B13" i="15"/>
  <c r="F12" i="15"/>
  <c r="B12" i="15"/>
  <c r="D51" i="16" l="1"/>
  <c r="D71" i="16" s="1"/>
  <c r="D73" i="16"/>
  <c r="H34" i="14"/>
  <c r="F34" i="14"/>
  <c r="D34" i="14"/>
  <c r="B34" i="14"/>
  <c r="I25" i="14"/>
  <c r="G25" i="14"/>
  <c r="E25" i="14"/>
  <c r="C25" i="14"/>
  <c r="H23" i="14"/>
  <c r="F23" i="14"/>
  <c r="D23" i="14"/>
  <c r="B23" i="14"/>
  <c r="H16" i="14"/>
  <c r="F16" i="14"/>
  <c r="D16" i="14"/>
  <c r="B16" i="14"/>
  <c r="D148" i="16" l="1"/>
  <c r="D96" i="16"/>
  <c r="D94" i="16"/>
  <c r="D95" i="16"/>
  <c r="D106" i="16"/>
  <c r="D107" i="16" s="1"/>
  <c r="D114" i="16" s="1"/>
  <c r="D97" i="16"/>
  <c r="D98" i="16"/>
  <c r="D99" i="16"/>
  <c r="H5" i="14"/>
  <c r="F5" i="14"/>
  <c r="D5" i="14"/>
  <c r="B5" i="14"/>
  <c r="D100" i="16" l="1"/>
  <c r="D113" i="16" s="1"/>
  <c r="D115" i="16" s="1"/>
  <c r="D150" i="16" s="1"/>
  <c r="D152" i="16" s="1"/>
  <c r="C134" i="13"/>
  <c r="C141" i="13" s="1"/>
  <c r="D151" i="13"/>
  <c r="D64" i="13"/>
  <c r="C51" i="13"/>
  <c r="C83" i="13" s="1"/>
  <c r="C36" i="13"/>
  <c r="C35" i="13"/>
  <c r="C34" i="13"/>
  <c r="D20" i="13"/>
  <c r="D22" i="13" s="1"/>
  <c r="C134" i="12"/>
  <c r="C141" i="12" s="1"/>
  <c r="D151" i="12"/>
  <c r="D64" i="12"/>
  <c r="C51" i="12"/>
  <c r="C83" i="12" s="1"/>
  <c r="C36" i="12"/>
  <c r="D36" i="12" s="1"/>
  <c r="C35" i="12"/>
  <c r="C34" i="12"/>
  <c r="D20" i="12"/>
  <c r="D26" i="12" s="1"/>
  <c r="C134" i="11"/>
  <c r="C141" i="11" s="1"/>
  <c r="D151" i="11"/>
  <c r="D64" i="11"/>
  <c r="C51" i="11"/>
  <c r="C83" i="11" s="1"/>
  <c r="C36" i="11"/>
  <c r="D36" i="11" s="1"/>
  <c r="C35" i="11"/>
  <c r="C34" i="11"/>
  <c r="D20" i="11"/>
  <c r="D26" i="11" s="1"/>
  <c r="C134" i="10"/>
  <c r="C141" i="10" s="1"/>
  <c r="D151" i="10"/>
  <c r="C98" i="10"/>
  <c r="C97" i="10"/>
  <c r="C96" i="10"/>
  <c r="C94" i="10"/>
  <c r="C84" i="10"/>
  <c r="C82" i="10"/>
  <c r="C81" i="10"/>
  <c r="C79" i="10"/>
  <c r="C51" i="10"/>
  <c r="C83" i="10" s="1"/>
  <c r="C36" i="10"/>
  <c r="D36" i="10" s="1"/>
  <c r="C35" i="10"/>
  <c r="C34" i="10"/>
  <c r="D20" i="10"/>
  <c r="D26" i="10" s="1"/>
  <c r="C134" i="9"/>
  <c r="C141" i="9" s="1"/>
  <c r="D151" i="9"/>
  <c r="C98" i="9"/>
  <c r="C97" i="9"/>
  <c r="C96" i="9"/>
  <c r="C94" i="9"/>
  <c r="C84" i="9"/>
  <c r="C82" i="9"/>
  <c r="C81" i="9"/>
  <c r="C79" i="9"/>
  <c r="D64" i="9"/>
  <c r="C51" i="9"/>
  <c r="C83" i="9" s="1"/>
  <c r="C36" i="9"/>
  <c r="C35" i="9"/>
  <c r="C34" i="9"/>
  <c r="D20" i="9"/>
  <c r="D22" i="9" s="1"/>
  <c r="C134" i="8"/>
  <c r="C141" i="8" s="1"/>
  <c r="D151" i="8"/>
  <c r="C98" i="8"/>
  <c r="C97" i="8"/>
  <c r="C96" i="8"/>
  <c r="C94" i="8"/>
  <c r="C84" i="8"/>
  <c r="C82" i="8"/>
  <c r="C81" i="8"/>
  <c r="C79" i="8"/>
  <c r="D64" i="8"/>
  <c r="C51" i="8"/>
  <c r="C36" i="8"/>
  <c r="D36" i="8" s="1"/>
  <c r="C35" i="8"/>
  <c r="C34" i="8"/>
  <c r="D20" i="8"/>
  <c r="D26" i="8" s="1"/>
  <c r="I6" i="14" s="1"/>
  <c r="C36" i="7"/>
  <c r="C134" i="7"/>
  <c r="C141" i="7" s="1"/>
  <c r="D151" i="7"/>
  <c r="C98" i="7"/>
  <c r="C97" i="7"/>
  <c r="C96" i="7"/>
  <c r="C94" i="7"/>
  <c r="C84" i="7"/>
  <c r="C82" i="7"/>
  <c r="C81" i="7"/>
  <c r="C79" i="7"/>
  <c r="D57" i="7"/>
  <c r="D64" i="7" s="1"/>
  <c r="C51" i="7"/>
  <c r="C83" i="7" s="1"/>
  <c r="C35" i="7"/>
  <c r="C34" i="7"/>
  <c r="D20" i="7"/>
  <c r="C36" i="1"/>
  <c r="C36" i="2"/>
  <c r="C36" i="3"/>
  <c r="C35" i="2"/>
  <c r="C35" i="3"/>
  <c r="C35" i="4"/>
  <c r="C35" i="5"/>
  <c r="C35" i="6"/>
  <c r="C35" i="1"/>
  <c r="C36" i="4"/>
  <c r="D36" i="4" s="1"/>
  <c r="C36" i="5"/>
  <c r="D36" i="5" s="1"/>
  <c r="C36" i="6"/>
  <c r="D36" i="6" s="1"/>
  <c r="C134" i="6"/>
  <c r="C141" i="6" s="1"/>
  <c r="D151" i="6"/>
  <c r="C98" i="6"/>
  <c r="C97" i="6"/>
  <c r="C96" i="6"/>
  <c r="C94" i="6"/>
  <c r="C84" i="6"/>
  <c r="C82" i="6"/>
  <c r="C81" i="6"/>
  <c r="C79" i="6"/>
  <c r="D57" i="6"/>
  <c r="C51" i="6"/>
  <c r="C83" i="6" s="1"/>
  <c r="C34" i="6"/>
  <c r="D20" i="6"/>
  <c r="D26" i="6" s="1"/>
  <c r="C134" i="5"/>
  <c r="C141" i="5" s="1"/>
  <c r="D151" i="5"/>
  <c r="C98" i="5"/>
  <c r="C97" i="5"/>
  <c r="C96" i="5"/>
  <c r="C94" i="5"/>
  <c r="C84" i="5"/>
  <c r="C82" i="5"/>
  <c r="C81" i="5"/>
  <c r="C79" i="5"/>
  <c r="D57" i="5"/>
  <c r="C51" i="5"/>
  <c r="C34" i="5"/>
  <c r="D20" i="5"/>
  <c r="D26" i="5" s="1"/>
  <c r="G6" i="14" s="1"/>
  <c r="C134" i="4"/>
  <c r="C141" i="4" s="1"/>
  <c r="D151" i="4"/>
  <c r="C98" i="4"/>
  <c r="C97" i="4"/>
  <c r="C96" i="4"/>
  <c r="C94" i="4"/>
  <c r="C84" i="4"/>
  <c r="C82" i="4"/>
  <c r="C81" i="4"/>
  <c r="C79" i="4"/>
  <c r="D57" i="4"/>
  <c r="C51" i="4"/>
  <c r="C34" i="4"/>
  <c r="D20" i="4"/>
  <c r="D26" i="4" s="1"/>
  <c r="E6" i="14" s="1"/>
  <c r="D132" i="16" l="1"/>
  <c r="D133" i="16" s="1"/>
  <c r="D64" i="6"/>
  <c r="D72" i="6" s="1"/>
  <c r="C37" i="10"/>
  <c r="C37" i="7"/>
  <c r="C37" i="12"/>
  <c r="D64" i="10"/>
  <c r="D72" i="10" s="1"/>
  <c r="D72" i="8"/>
  <c r="D23" i="7"/>
  <c r="D22" i="7"/>
  <c r="D64" i="5"/>
  <c r="D72" i="5" s="1"/>
  <c r="D72" i="13"/>
  <c r="D64" i="4"/>
  <c r="D72" i="4" s="1"/>
  <c r="C37" i="9"/>
  <c r="H36" i="14"/>
  <c r="I36" i="14" s="1"/>
  <c r="I37" i="14" s="1"/>
  <c r="H26" i="14"/>
  <c r="I26" i="14" s="1"/>
  <c r="I27" i="14" s="1"/>
  <c r="H8" i="14"/>
  <c r="C83" i="4"/>
  <c r="D7" i="14"/>
  <c r="E7" i="14" s="1"/>
  <c r="F26" i="14"/>
  <c r="G26" i="14" s="1"/>
  <c r="G27" i="14" s="1"/>
  <c r="F8" i="14"/>
  <c r="F36" i="14"/>
  <c r="G36" i="14" s="1"/>
  <c r="G37" i="14" s="1"/>
  <c r="C83" i="8"/>
  <c r="H7" i="14"/>
  <c r="I7" i="14" s="1"/>
  <c r="D84" i="12"/>
  <c r="D82" i="12"/>
  <c r="D83" i="12" s="1"/>
  <c r="D79" i="12"/>
  <c r="D81" i="12"/>
  <c r="C37" i="4"/>
  <c r="D72" i="7"/>
  <c r="D72" i="11"/>
  <c r="D26" i="14"/>
  <c r="E26" i="14" s="1"/>
  <c r="E27" i="14" s="1"/>
  <c r="D8" i="14"/>
  <c r="D36" i="14"/>
  <c r="E36" i="14" s="1"/>
  <c r="E37" i="14" s="1"/>
  <c r="C37" i="5"/>
  <c r="C37" i="8"/>
  <c r="D72" i="9"/>
  <c r="C37" i="11"/>
  <c r="D72" i="12"/>
  <c r="D23" i="13"/>
  <c r="C83" i="5"/>
  <c r="F7" i="14"/>
  <c r="G7" i="14" s="1"/>
  <c r="C37" i="13"/>
  <c r="D147" i="12"/>
  <c r="D35" i="12"/>
  <c r="D34" i="12"/>
  <c r="D84" i="11"/>
  <c r="D81" i="11"/>
  <c r="D34" i="11"/>
  <c r="D147" i="11"/>
  <c r="D79" i="11"/>
  <c r="D82" i="11"/>
  <c r="D83" i="11" s="1"/>
  <c r="D35" i="11"/>
  <c r="D79" i="10"/>
  <c r="D147" i="10"/>
  <c r="D82" i="10"/>
  <c r="D83" i="10" s="1"/>
  <c r="D35" i="10"/>
  <c r="D84" i="10"/>
  <c r="D81" i="10"/>
  <c r="D34" i="10"/>
  <c r="D23" i="9"/>
  <c r="D79" i="8"/>
  <c r="D82" i="8"/>
  <c r="D35" i="8"/>
  <c r="D84" i="8"/>
  <c r="D34" i="8"/>
  <c r="D147" i="8"/>
  <c r="D81" i="8"/>
  <c r="C37" i="6"/>
  <c r="D79" i="6"/>
  <c r="D35" i="6"/>
  <c r="D34" i="6"/>
  <c r="D147" i="6"/>
  <c r="D84" i="6"/>
  <c r="D81" i="6"/>
  <c r="D82" i="6"/>
  <c r="D83" i="6" s="1"/>
  <c r="D79" i="5"/>
  <c r="D147" i="5"/>
  <c r="D82" i="5"/>
  <c r="D34" i="5"/>
  <c r="D35" i="5"/>
  <c r="D84" i="5"/>
  <c r="D81" i="5"/>
  <c r="D79" i="4"/>
  <c r="D147" i="4"/>
  <c r="D82" i="4"/>
  <c r="D34" i="4"/>
  <c r="D84" i="4"/>
  <c r="D81" i="4"/>
  <c r="D35" i="4"/>
  <c r="C134" i="3"/>
  <c r="C141" i="3" s="1"/>
  <c r="D151" i="3"/>
  <c r="C98" i="3"/>
  <c r="C97" i="3"/>
  <c r="C96" i="3"/>
  <c r="C94" i="3"/>
  <c r="C84" i="3"/>
  <c r="C82" i="3"/>
  <c r="C81" i="3"/>
  <c r="C79" i="3"/>
  <c r="D57" i="3"/>
  <c r="C51" i="3"/>
  <c r="C83" i="3" s="1"/>
  <c r="C34" i="3"/>
  <c r="C37" i="3" s="1"/>
  <c r="D24" i="3"/>
  <c r="D20" i="3"/>
  <c r="D151" i="2"/>
  <c r="D57" i="2"/>
  <c r="D24" i="2"/>
  <c r="C134" i="2"/>
  <c r="C141" i="2" s="1"/>
  <c r="C98" i="2"/>
  <c r="C97" i="2"/>
  <c r="C96" i="2"/>
  <c r="C94" i="2"/>
  <c r="C84" i="2"/>
  <c r="C82" i="2"/>
  <c r="C81" i="2"/>
  <c r="C79" i="2"/>
  <c r="C51" i="2"/>
  <c r="C83" i="2" s="1"/>
  <c r="C34" i="2"/>
  <c r="C37" i="2" s="1"/>
  <c r="D20" i="2"/>
  <c r="D134" i="16" l="1"/>
  <c r="D141" i="16" s="1"/>
  <c r="D153" i="16" s="1"/>
  <c r="D154" i="16" s="1"/>
  <c r="D26" i="7"/>
  <c r="D36" i="7" s="1"/>
  <c r="D37" i="5"/>
  <c r="D45" i="5" s="1"/>
  <c r="D83" i="5"/>
  <c r="D64" i="3"/>
  <c r="D72" i="3" s="1"/>
  <c r="E8" i="14"/>
  <c r="E9" i="14" s="1"/>
  <c r="E10" i="14" s="1"/>
  <c r="E12" i="14" s="1"/>
  <c r="E18" i="14" s="1"/>
  <c r="I8" i="14"/>
  <c r="I9" i="14" s="1"/>
  <c r="I10" i="14" s="1"/>
  <c r="I12" i="14" s="1"/>
  <c r="I18" i="14" s="1"/>
  <c r="D26" i="2"/>
  <c r="D36" i="2" s="1"/>
  <c r="D64" i="2"/>
  <c r="D72" i="2" s="1"/>
  <c r="D23" i="3"/>
  <c r="D22" i="3"/>
  <c r="D26" i="3" s="1"/>
  <c r="D81" i="7"/>
  <c r="D82" i="7"/>
  <c r="D83" i="7" s="1"/>
  <c r="D26" i="9"/>
  <c r="D35" i="9" s="1"/>
  <c r="D147" i="7"/>
  <c r="D37" i="10"/>
  <c r="D48" i="10" s="1"/>
  <c r="D37" i="11"/>
  <c r="D70" i="11" s="1"/>
  <c r="D26" i="13"/>
  <c r="D35" i="13" s="1"/>
  <c r="D34" i="7"/>
  <c r="D79" i="7"/>
  <c r="D80" i="7" s="1"/>
  <c r="D84" i="7"/>
  <c r="D37" i="6"/>
  <c r="D50" i="6" s="1"/>
  <c r="D35" i="7"/>
  <c r="G8" i="14"/>
  <c r="G9" i="14" s="1"/>
  <c r="G10" i="14" s="1"/>
  <c r="E38" i="14"/>
  <c r="E39" i="14"/>
  <c r="E29" i="14"/>
  <c r="E28" i="14"/>
  <c r="G39" i="14"/>
  <c r="G38" i="14"/>
  <c r="D37" i="4"/>
  <c r="D83" i="8"/>
  <c r="D80" i="12"/>
  <c r="D85" i="12" s="1"/>
  <c r="D149" i="12" s="1"/>
  <c r="I29" i="14"/>
  <c r="I28" i="14"/>
  <c r="G29" i="14"/>
  <c r="G28" i="14"/>
  <c r="I39" i="14"/>
  <c r="I38" i="14"/>
  <c r="D83" i="4"/>
  <c r="D37" i="12"/>
  <c r="D80" i="11"/>
  <c r="D85" i="11" s="1"/>
  <c r="D149" i="11" s="1"/>
  <c r="D80" i="10"/>
  <c r="D85" i="10" s="1"/>
  <c r="D149" i="10" s="1"/>
  <c r="D84" i="9"/>
  <c r="D37" i="8"/>
  <c r="D80" i="8"/>
  <c r="D70" i="5"/>
  <c r="D80" i="6"/>
  <c r="D85" i="6" s="1"/>
  <c r="D149" i="6" s="1"/>
  <c r="D44" i="5"/>
  <c r="D43" i="5"/>
  <c r="D49" i="5"/>
  <c r="D46" i="5"/>
  <c r="D80" i="5"/>
  <c r="D48" i="5"/>
  <c r="D47" i="5"/>
  <c r="D50" i="5"/>
  <c r="D80" i="4"/>
  <c r="D81" i="2"/>
  <c r="D57" i="1"/>
  <c r="D24" i="1"/>
  <c r="D20" i="1"/>
  <c r="C42" i="15" l="1"/>
  <c r="C46" i="15"/>
  <c r="E30" i="14"/>
  <c r="E31" i="14" s="1"/>
  <c r="I30" i="14"/>
  <c r="I31" i="14" s="1"/>
  <c r="E45" i="14" s="1"/>
  <c r="D140" i="16"/>
  <c r="D139" i="16"/>
  <c r="D138" i="16"/>
  <c r="D137" i="16"/>
  <c r="D136" i="16"/>
  <c r="D135" i="16"/>
  <c r="D85" i="5"/>
  <c r="D149" i="5" s="1"/>
  <c r="D47" i="6"/>
  <c r="D44" i="6"/>
  <c r="D35" i="2"/>
  <c r="D79" i="2"/>
  <c r="D80" i="2" s="1"/>
  <c r="D34" i="2"/>
  <c r="D85" i="8"/>
  <c r="D149" i="8" s="1"/>
  <c r="D82" i="2"/>
  <c r="D83" i="2" s="1"/>
  <c r="D84" i="2"/>
  <c r="D147" i="2"/>
  <c r="I40" i="14"/>
  <c r="I41" i="14" s="1"/>
  <c r="E46" i="14" s="1"/>
  <c r="I11" i="14"/>
  <c r="I17" i="14" s="1"/>
  <c r="I13" i="14"/>
  <c r="I19" i="14" s="1"/>
  <c r="D44" i="11"/>
  <c r="D45" i="10"/>
  <c r="D43" i="10"/>
  <c r="E13" i="14"/>
  <c r="E19" i="14" s="1"/>
  <c r="D85" i="4"/>
  <c r="D149" i="4" s="1"/>
  <c r="D147" i="13"/>
  <c r="E11" i="14"/>
  <c r="E17" i="14" s="1"/>
  <c r="D43" i="11"/>
  <c r="D47" i="10"/>
  <c r="D49" i="10"/>
  <c r="D46" i="11"/>
  <c r="D37" i="7"/>
  <c r="D49" i="7" s="1"/>
  <c r="D84" i="13"/>
  <c r="D49" i="11"/>
  <c r="D79" i="13"/>
  <c r="D80" i="13" s="1"/>
  <c r="D50" i="11"/>
  <c r="D64" i="1"/>
  <c r="D47" i="11"/>
  <c r="D45" i="11"/>
  <c r="D85" i="7"/>
  <c r="D149" i="7" s="1"/>
  <c r="D82" i="9"/>
  <c r="D83" i="9" s="1"/>
  <c r="G12" i="14"/>
  <c r="G18" i="14" s="1"/>
  <c r="G11" i="14"/>
  <c r="G17" i="14" s="1"/>
  <c r="G13" i="14"/>
  <c r="G19" i="14" s="1"/>
  <c r="D36" i="9"/>
  <c r="D147" i="9"/>
  <c r="D36" i="13"/>
  <c r="D81" i="13"/>
  <c r="D34" i="9"/>
  <c r="D79" i="9"/>
  <c r="D80" i="9" s="1"/>
  <c r="D34" i="13"/>
  <c r="D82" i="13"/>
  <c r="D83" i="13" s="1"/>
  <c r="D70" i="10"/>
  <c r="D50" i="10"/>
  <c r="D81" i="9"/>
  <c r="D48" i="11"/>
  <c r="D46" i="10"/>
  <c r="D44" i="10"/>
  <c r="G30" i="14"/>
  <c r="G31" i="14" s="1"/>
  <c r="G40" i="14"/>
  <c r="G41" i="14" s="1"/>
  <c r="E40" i="14"/>
  <c r="E41" i="14" s="1"/>
  <c r="D70" i="12"/>
  <c r="D48" i="12"/>
  <c r="D44" i="12"/>
  <c r="D45" i="12"/>
  <c r="D47" i="12"/>
  <c r="D49" i="12"/>
  <c r="D43" i="12"/>
  <c r="D50" i="12"/>
  <c r="D46" i="12"/>
  <c r="D70" i="8"/>
  <c r="D47" i="8"/>
  <c r="D44" i="8"/>
  <c r="D49" i="8"/>
  <c r="D43" i="8"/>
  <c r="D45" i="8"/>
  <c r="D46" i="8"/>
  <c r="D48" i="8"/>
  <c r="D50" i="8"/>
  <c r="D81" i="3"/>
  <c r="D36" i="3"/>
  <c r="D46" i="6"/>
  <c r="D70" i="6"/>
  <c r="D49" i="6"/>
  <c r="D43" i="6"/>
  <c r="D48" i="6"/>
  <c r="D45" i="6"/>
  <c r="D51" i="5"/>
  <c r="D71" i="5" s="1"/>
  <c r="D73" i="5" s="1"/>
  <c r="D70" i="4"/>
  <c r="D50" i="4"/>
  <c r="D44" i="4"/>
  <c r="D49" i="4"/>
  <c r="D48" i="4"/>
  <c r="D45" i="4"/>
  <c r="D47" i="4"/>
  <c r="D46" i="4"/>
  <c r="D43" i="4"/>
  <c r="D84" i="3"/>
  <c r="D34" i="3"/>
  <c r="D82" i="3"/>
  <c r="D83" i="3" s="1"/>
  <c r="D35" i="3"/>
  <c r="D147" i="3"/>
  <c r="D79" i="3"/>
  <c r="D80" i="3" s="1"/>
  <c r="C84" i="1"/>
  <c r="C81" i="1"/>
  <c r="I20" i="14" l="1"/>
  <c r="E44" i="14" s="1"/>
  <c r="G47" i="14" s="1"/>
  <c r="G64" i="15" s="1"/>
  <c r="E20" i="14"/>
  <c r="D44" i="7"/>
  <c r="D85" i="2"/>
  <c r="D149" i="2" s="1"/>
  <c r="D48" i="7"/>
  <c r="D37" i="2"/>
  <c r="D45" i="2" s="1"/>
  <c r="D37" i="9"/>
  <c r="D44" i="9" s="1"/>
  <c r="D46" i="7"/>
  <c r="D70" i="7"/>
  <c r="D47" i="7"/>
  <c r="D50" i="7"/>
  <c r="D45" i="7"/>
  <c r="D43" i="7"/>
  <c r="D51" i="10"/>
  <c r="D71" i="10" s="1"/>
  <c r="D73" i="10" s="1"/>
  <c r="D95" i="10" s="1"/>
  <c r="D51" i="11"/>
  <c r="D71" i="11" s="1"/>
  <c r="D73" i="11" s="1"/>
  <c r="D148" i="11" s="1"/>
  <c r="D85" i="9"/>
  <c r="D149" i="9" s="1"/>
  <c r="D85" i="13"/>
  <c r="D149" i="13" s="1"/>
  <c r="G20" i="14"/>
  <c r="D37" i="13"/>
  <c r="D51" i="12"/>
  <c r="D71" i="12" s="1"/>
  <c r="D73" i="12" s="1"/>
  <c r="D106" i="12" s="1"/>
  <c r="D43" i="9"/>
  <c r="D47" i="9"/>
  <c r="D46" i="9"/>
  <c r="D51" i="8"/>
  <c r="D71" i="8" s="1"/>
  <c r="D73" i="8" s="1"/>
  <c r="D37" i="3"/>
  <c r="D51" i="6"/>
  <c r="D71" i="6" s="1"/>
  <c r="D73" i="6" s="1"/>
  <c r="D148" i="5"/>
  <c r="D94" i="5"/>
  <c r="D95" i="5"/>
  <c r="D98" i="5"/>
  <c r="D107" i="5"/>
  <c r="D114" i="5" s="1"/>
  <c r="D96" i="5"/>
  <c r="D99" i="5"/>
  <c r="D97" i="5"/>
  <c r="D51" i="4"/>
  <c r="D71" i="4" s="1"/>
  <c r="D73" i="4" s="1"/>
  <c r="D85" i="3"/>
  <c r="D149" i="3" s="1"/>
  <c r="D49" i="2"/>
  <c r="D46" i="2"/>
  <c r="C134" i="1"/>
  <c r="C141" i="1" s="1"/>
  <c r="C98" i="1"/>
  <c r="C97" i="1"/>
  <c r="C96" i="1"/>
  <c r="C94" i="1"/>
  <c r="C82" i="1"/>
  <c r="C79" i="1"/>
  <c r="C34" i="1"/>
  <c r="C37" i="1" s="1"/>
  <c r="D94" i="11" l="1"/>
  <c r="D106" i="11"/>
  <c r="D107" i="11" s="1"/>
  <c r="D114" i="11" s="1"/>
  <c r="D48" i="2"/>
  <c r="D47" i="2"/>
  <c r="D43" i="2"/>
  <c r="D50" i="2"/>
  <c r="D44" i="2"/>
  <c r="D51" i="2" s="1"/>
  <c r="D71" i="2" s="1"/>
  <c r="D73" i="2" s="1"/>
  <c r="D70" i="2"/>
  <c r="D49" i="9"/>
  <c r="D50" i="9"/>
  <c r="D45" i="9"/>
  <c r="D70" i="9"/>
  <c r="D48" i="9"/>
  <c r="D51" i="9" s="1"/>
  <c r="D71" i="9" s="1"/>
  <c r="D73" i="9" s="1"/>
  <c r="D51" i="7"/>
  <c r="D71" i="7" s="1"/>
  <c r="D73" i="7" s="1"/>
  <c r="D96" i="7" s="1"/>
  <c r="D95" i="11"/>
  <c r="D98" i="11"/>
  <c r="D99" i="11"/>
  <c r="D97" i="11"/>
  <c r="D96" i="11"/>
  <c r="D107" i="10"/>
  <c r="D114" i="10" s="1"/>
  <c r="D148" i="10"/>
  <c r="D98" i="10"/>
  <c r="D99" i="10"/>
  <c r="D94" i="10"/>
  <c r="D96" i="10"/>
  <c r="D97" i="10"/>
  <c r="D70" i="13"/>
  <c r="D48" i="13"/>
  <c r="D43" i="13"/>
  <c r="D49" i="13"/>
  <c r="D47" i="13"/>
  <c r="D50" i="13"/>
  <c r="D45" i="13"/>
  <c r="D46" i="13"/>
  <c r="D44" i="13"/>
  <c r="B8" i="14"/>
  <c r="B36" i="14"/>
  <c r="C36" i="14" s="1"/>
  <c r="C37" i="14" s="1"/>
  <c r="B26" i="14"/>
  <c r="C26" i="14" s="1"/>
  <c r="C27" i="14" s="1"/>
  <c r="D98" i="12"/>
  <c r="D97" i="12"/>
  <c r="D96" i="12"/>
  <c r="D95" i="12"/>
  <c r="D94" i="12"/>
  <c r="D99" i="12"/>
  <c r="D148" i="12"/>
  <c r="D107" i="12"/>
  <c r="D114" i="12" s="1"/>
  <c r="D148" i="8"/>
  <c r="D97" i="8"/>
  <c r="D96" i="8"/>
  <c r="D94" i="8"/>
  <c r="D99" i="8"/>
  <c r="D107" i="8"/>
  <c r="D114" i="8" s="1"/>
  <c r="D95" i="8"/>
  <c r="D98" i="8"/>
  <c r="D148" i="6"/>
  <c r="D95" i="6"/>
  <c r="D96" i="6"/>
  <c r="D94" i="6"/>
  <c r="D99" i="6"/>
  <c r="D107" i="6"/>
  <c r="D114" i="6" s="1"/>
  <c r="D98" i="6"/>
  <c r="D97" i="6"/>
  <c r="D100" i="5"/>
  <c r="D113" i="5" s="1"/>
  <c r="D115" i="5" s="1"/>
  <c r="D150" i="5" s="1"/>
  <c r="D152" i="5" s="1"/>
  <c r="D148" i="4"/>
  <c r="D94" i="4"/>
  <c r="D99" i="4"/>
  <c r="D98" i="4"/>
  <c r="D95" i="4"/>
  <c r="D96" i="4"/>
  <c r="D107" i="4"/>
  <c r="D114" i="4" s="1"/>
  <c r="D97" i="4"/>
  <c r="D70" i="3"/>
  <c r="D46" i="3"/>
  <c r="D45" i="3"/>
  <c r="D44" i="3"/>
  <c r="D43" i="3"/>
  <c r="D47" i="3"/>
  <c r="D48" i="3"/>
  <c r="D50" i="3"/>
  <c r="D49" i="3"/>
  <c r="D151" i="1"/>
  <c r="D72" i="1"/>
  <c r="C51" i="1"/>
  <c r="D26" i="1"/>
  <c r="D98" i="7" l="1"/>
  <c r="D148" i="7"/>
  <c r="D97" i="7"/>
  <c r="D107" i="7"/>
  <c r="D114" i="7" s="1"/>
  <c r="D95" i="7"/>
  <c r="D94" i="7"/>
  <c r="D99" i="7"/>
  <c r="D100" i="11"/>
  <c r="D113" i="11" s="1"/>
  <c r="D115" i="11" s="1"/>
  <c r="D150" i="11" s="1"/>
  <c r="D152" i="11" s="1"/>
  <c r="D132" i="11" s="1"/>
  <c r="D133" i="11" s="1"/>
  <c r="D134" i="11" s="1"/>
  <c r="D100" i="10"/>
  <c r="D113" i="10" s="1"/>
  <c r="D115" i="10" s="1"/>
  <c r="D150" i="10" s="1"/>
  <c r="D152" i="10" s="1"/>
  <c r="D132" i="10" s="1"/>
  <c r="D51" i="13"/>
  <c r="D71" i="13" s="1"/>
  <c r="D73" i="13" s="1"/>
  <c r="D106" i="13" s="1"/>
  <c r="C6" i="14"/>
  <c r="D36" i="1"/>
  <c r="C83" i="1"/>
  <c r="B7" i="14"/>
  <c r="C28" i="14"/>
  <c r="C29" i="14"/>
  <c r="C38" i="14"/>
  <c r="C39" i="14"/>
  <c r="D100" i="12"/>
  <c r="D113" i="12" s="1"/>
  <c r="D115" i="12" s="1"/>
  <c r="D150" i="12" s="1"/>
  <c r="D152" i="12" s="1"/>
  <c r="D148" i="9"/>
  <c r="D97" i="9"/>
  <c r="D98" i="9"/>
  <c r="D94" i="9"/>
  <c r="D95" i="9"/>
  <c r="D96" i="9"/>
  <c r="D99" i="9"/>
  <c r="D107" i="9"/>
  <c r="D114" i="9" s="1"/>
  <c r="D100" i="8"/>
  <c r="D113" i="8" s="1"/>
  <c r="D115" i="8" s="1"/>
  <c r="D150" i="8" s="1"/>
  <c r="D152" i="8" s="1"/>
  <c r="D100" i="6"/>
  <c r="D113" i="6" s="1"/>
  <c r="D115" i="6" s="1"/>
  <c r="D150" i="6" s="1"/>
  <c r="D152" i="6" s="1"/>
  <c r="D132" i="5"/>
  <c r="D100" i="4"/>
  <c r="D113" i="4" s="1"/>
  <c r="D115" i="4" s="1"/>
  <c r="D150" i="4" s="1"/>
  <c r="D152" i="4" s="1"/>
  <c r="D51" i="3"/>
  <c r="D71" i="3" s="1"/>
  <c r="D73" i="3" s="1"/>
  <c r="D148" i="2"/>
  <c r="D96" i="2"/>
  <c r="D98" i="2"/>
  <c r="D107" i="2"/>
  <c r="D114" i="2" s="1"/>
  <c r="D99" i="2"/>
  <c r="D95" i="2"/>
  <c r="D94" i="2"/>
  <c r="D97" i="2"/>
  <c r="D81" i="1"/>
  <c r="D79" i="1"/>
  <c r="D80" i="1" s="1"/>
  <c r="D82" i="1"/>
  <c r="D147" i="1"/>
  <c r="D35" i="1"/>
  <c r="D84" i="1"/>
  <c r="D34" i="1"/>
  <c r="D100" i="7" l="1"/>
  <c r="D113" i="7" s="1"/>
  <c r="D115" i="7" s="1"/>
  <c r="D150" i="7" s="1"/>
  <c r="D152" i="7" s="1"/>
  <c r="D132" i="7" s="1"/>
  <c r="D133" i="7" s="1"/>
  <c r="D134" i="7" s="1"/>
  <c r="D133" i="10"/>
  <c r="D134" i="10" s="1"/>
  <c r="C40" i="14"/>
  <c r="C41" i="14" s="1"/>
  <c r="B46" i="14" s="1"/>
  <c r="H46" i="14" s="1"/>
  <c r="D83" i="1"/>
  <c r="C30" i="14"/>
  <c r="C31" i="14" s="1"/>
  <c r="B45" i="14" s="1"/>
  <c r="H45" i="14" s="1"/>
  <c r="D99" i="13"/>
  <c r="D148" i="13"/>
  <c r="D96" i="13"/>
  <c r="D95" i="13"/>
  <c r="D107" i="13"/>
  <c r="D114" i="13" s="1"/>
  <c r="D94" i="13"/>
  <c r="D98" i="13"/>
  <c r="D97" i="13"/>
  <c r="D37" i="1"/>
  <c r="C7" i="14"/>
  <c r="C8" i="14" s="1"/>
  <c r="C9" i="14" s="1"/>
  <c r="C10" i="14" s="1"/>
  <c r="D132" i="12"/>
  <c r="D141" i="11"/>
  <c r="D153" i="11" s="1"/>
  <c r="D154" i="11" s="1"/>
  <c r="D100" i="9"/>
  <c r="D113" i="9" s="1"/>
  <c r="D115" i="9" s="1"/>
  <c r="D150" i="9" s="1"/>
  <c r="D152" i="9" s="1"/>
  <c r="D132" i="8"/>
  <c r="D132" i="6"/>
  <c r="D133" i="6" s="1"/>
  <c r="D133" i="5"/>
  <c r="D134" i="5" s="1"/>
  <c r="D132" i="4"/>
  <c r="D107" i="3"/>
  <c r="D114" i="3" s="1"/>
  <c r="D97" i="3"/>
  <c r="D94" i="3"/>
  <c r="D99" i="3"/>
  <c r="D148" i="3"/>
  <c r="D95" i="3"/>
  <c r="D96" i="3"/>
  <c r="D98" i="3"/>
  <c r="D100" i="2"/>
  <c r="D113" i="2" s="1"/>
  <c r="D115" i="2" s="1"/>
  <c r="D150" i="2" s="1"/>
  <c r="D152" i="2" s="1"/>
  <c r="D85" i="1"/>
  <c r="D141" i="10" l="1"/>
  <c r="D153" i="10" s="1"/>
  <c r="D154" i="10" s="1"/>
  <c r="C29" i="15" s="1"/>
  <c r="E29" i="15" s="1"/>
  <c r="G29" i="15" s="1"/>
  <c r="H29" i="15" s="1"/>
  <c r="D100" i="13"/>
  <c r="D113" i="13" s="1"/>
  <c r="D115" i="13" s="1"/>
  <c r="D150" i="13" s="1"/>
  <c r="D152" i="13" s="1"/>
  <c r="D132" i="13" s="1"/>
  <c r="C13" i="14"/>
  <c r="C19" i="14" s="1"/>
  <c r="C11" i="14"/>
  <c r="C17" i="14" s="1"/>
  <c r="C12" i="14"/>
  <c r="C18" i="14" s="1"/>
  <c r="C38" i="15"/>
  <c r="E38" i="15" s="1"/>
  <c r="G38" i="15" s="1"/>
  <c r="H38" i="15" s="1"/>
  <c r="G58" i="15" s="1"/>
  <c r="C34" i="15"/>
  <c r="E34" i="15" s="1"/>
  <c r="G34" i="15" s="1"/>
  <c r="H34" i="15" s="1"/>
  <c r="G57" i="15" s="1"/>
  <c r="D133" i="12"/>
  <c r="D135" i="11"/>
  <c r="D140" i="11"/>
  <c r="D138" i="11"/>
  <c r="D137" i="11"/>
  <c r="D139" i="11"/>
  <c r="D136" i="11"/>
  <c r="D136" i="10"/>
  <c r="D135" i="10"/>
  <c r="D140" i="10"/>
  <c r="D132" i="9"/>
  <c r="D133" i="8"/>
  <c r="D134" i="8" s="1"/>
  <c r="D141" i="7"/>
  <c r="D153" i="7" s="1"/>
  <c r="D154" i="7" s="1"/>
  <c r="C18" i="15" s="1"/>
  <c r="E18" i="15" s="1"/>
  <c r="G18" i="15" s="1"/>
  <c r="H18" i="15" s="1"/>
  <c r="D134" i="6"/>
  <c r="D141" i="6" s="1"/>
  <c r="D153" i="6" s="1"/>
  <c r="D154" i="6" s="1"/>
  <c r="C17" i="15" s="1"/>
  <c r="E17" i="15" s="1"/>
  <c r="G17" i="15" s="1"/>
  <c r="H17" i="15" s="1"/>
  <c r="D141" i="5"/>
  <c r="D153" i="5" s="1"/>
  <c r="D154" i="5" s="1"/>
  <c r="C16" i="15" s="1"/>
  <c r="E16" i="15" s="1"/>
  <c r="G16" i="15" s="1"/>
  <c r="H16" i="15" s="1"/>
  <c r="D133" i="4"/>
  <c r="D134" i="4" s="1"/>
  <c r="D100" i="3"/>
  <c r="D113" i="3" s="1"/>
  <c r="D115" i="3" s="1"/>
  <c r="D150" i="3" s="1"/>
  <c r="D152" i="3" s="1"/>
  <c r="D132" i="2"/>
  <c r="D70" i="1"/>
  <c r="D46" i="1"/>
  <c r="D44" i="1"/>
  <c r="D47" i="1"/>
  <c r="D50" i="1"/>
  <c r="D45" i="1"/>
  <c r="D48" i="1"/>
  <c r="D43" i="1"/>
  <c r="D49" i="1"/>
  <c r="D149" i="1"/>
  <c r="D138" i="10" l="1"/>
  <c r="D137" i="10"/>
  <c r="D139" i="10"/>
  <c r="D133" i="13"/>
  <c r="D134" i="13" s="1"/>
  <c r="C20" i="14"/>
  <c r="B44" i="14" s="1"/>
  <c r="D140" i="6"/>
  <c r="D137" i="6"/>
  <c r="D135" i="6"/>
  <c r="D136" i="6"/>
  <c r="D139" i="6"/>
  <c r="D138" i="6"/>
  <c r="D134" i="12"/>
  <c r="D141" i="12" s="1"/>
  <c r="D153" i="12" s="1"/>
  <c r="D154" i="12" s="1"/>
  <c r="D133" i="9"/>
  <c r="D134" i="9" s="1"/>
  <c r="D141" i="8"/>
  <c r="D153" i="8" s="1"/>
  <c r="D154" i="8" s="1"/>
  <c r="C23" i="15" s="1"/>
  <c r="E23" i="15" s="1"/>
  <c r="G23" i="15" s="1"/>
  <c r="H23" i="15" s="1"/>
  <c r="D138" i="7"/>
  <c r="D137" i="7"/>
  <c r="D136" i="7"/>
  <c r="D135" i="7"/>
  <c r="D140" i="7"/>
  <c r="D139" i="7"/>
  <c r="D138" i="5"/>
  <c r="D135" i="5"/>
  <c r="D140" i="5"/>
  <c r="D139" i="5"/>
  <c r="D137" i="5"/>
  <c r="D136" i="5"/>
  <c r="D141" i="4"/>
  <c r="D153" i="4" s="1"/>
  <c r="D154" i="4" s="1"/>
  <c r="C15" i="15" s="1"/>
  <c r="E15" i="15" s="1"/>
  <c r="G15" i="15" s="1"/>
  <c r="H15" i="15" s="1"/>
  <c r="D132" i="3"/>
  <c r="D133" i="2"/>
  <c r="D51" i="1"/>
  <c r="D71" i="1" s="1"/>
  <c r="D73" i="1" s="1"/>
  <c r="D148" i="1" s="1"/>
  <c r="D141" i="13" l="1"/>
  <c r="D153" i="13" s="1"/>
  <c r="D154" i="13" s="1"/>
  <c r="C51" i="15" s="1"/>
  <c r="E51" i="15" s="1"/>
  <c r="G51" i="15" s="1"/>
  <c r="H51" i="15" s="1"/>
  <c r="H44" i="14"/>
  <c r="H47" i="14" s="1"/>
  <c r="D47" i="14"/>
  <c r="G59" i="15" s="1"/>
  <c r="E42" i="15"/>
  <c r="G42" i="15" s="1"/>
  <c r="H42" i="15" s="1"/>
  <c r="G61" i="15" s="1"/>
  <c r="E46" i="15"/>
  <c r="G46" i="15" s="1"/>
  <c r="H46" i="15" s="1"/>
  <c r="G62" i="15" s="1"/>
  <c r="C50" i="15"/>
  <c r="E50" i="15" s="1"/>
  <c r="G50" i="15" s="1"/>
  <c r="H50" i="15" s="1"/>
  <c r="D137" i="12"/>
  <c r="D136" i="12"/>
  <c r="D135" i="12"/>
  <c r="D140" i="12"/>
  <c r="D138" i="12"/>
  <c r="D139" i="12"/>
  <c r="D141" i="9"/>
  <c r="D153" i="9" s="1"/>
  <c r="D154" i="9" s="1"/>
  <c r="C26" i="15" s="1"/>
  <c r="E26" i="15" s="1"/>
  <c r="G26" i="15" s="1"/>
  <c r="H26" i="15" s="1"/>
  <c r="H30" i="15" s="1"/>
  <c r="D138" i="8"/>
  <c r="D137" i="8"/>
  <c r="D135" i="8"/>
  <c r="D140" i="8"/>
  <c r="D139" i="8"/>
  <c r="D136" i="8"/>
  <c r="D138" i="4"/>
  <c r="D137" i="4"/>
  <c r="D136" i="4"/>
  <c r="D135" i="4"/>
  <c r="D140" i="4"/>
  <c r="D139" i="4"/>
  <c r="D133" i="3"/>
  <c r="D134" i="3" s="1"/>
  <c r="D134" i="2"/>
  <c r="D141" i="2" s="1"/>
  <c r="D153" i="2" s="1"/>
  <c r="D154" i="2" s="1"/>
  <c r="C13" i="15" s="1"/>
  <c r="E13" i="15" s="1"/>
  <c r="G13" i="15" s="1"/>
  <c r="H13" i="15" s="1"/>
  <c r="D97" i="1"/>
  <c r="D98" i="1"/>
  <c r="D95" i="1"/>
  <c r="D99" i="1"/>
  <c r="D107" i="1"/>
  <c r="D114" i="1" s="1"/>
  <c r="D94" i="1"/>
  <c r="D96" i="1"/>
  <c r="H52" i="15" l="1"/>
  <c r="G63" i="15" s="1"/>
  <c r="D138" i="13"/>
  <c r="D140" i="13"/>
  <c r="D136" i="13"/>
  <c r="D135" i="13"/>
  <c r="D139" i="13"/>
  <c r="D137" i="13"/>
  <c r="C57" i="15"/>
  <c r="G60" i="15"/>
  <c r="D138" i="9"/>
  <c r="D136" i="9"/>
  <c r="D137" i="9"/>
  <c r="D135" i="9"/>
  <c r="D140" i="9"/>
  <c r="D139" i="9"/>
  <c r="D141" i="3"/>
  <c r="D153" i="3" s="1"/>
  <c r="D154" i="3" s="1"/>
  <c r="C14" i="15" s="1"/>
  <c r="E14" i="15" s="1"/>
  <c r="G14" i="15" s="1"/>
  <c r="H14" i="15" s="1"/>
  <c r="D136" i="2"/>
  <c r="D140" i="2"/>
  <c r="D139" i="2"/>
  <c r="D138" i="2"/>
  <c r="D137" i="2"/>
  <c r="D135" i="2"/>
  <c r="D100" i="1"/>
  <c r="D113" i="1" s="1"/>
  <c r="D115" i="1" s="1"/>
  <c r="D150" i="1" s="1"/>
  <c r="D152" i="1" s="1"/>
  <c r="D132" i="1" s="1"/>
  <c r="D133" i="1" s="1"/>
  <c r="D134" i="1" s="1"/>
  <c r="D139" i="3" l="1"/>
  <c r="D138" i="3"/>
  <c r="D137" i="3"/>
  <c r="D136" i="3"/>
  <c r="D135" i="3"/>
  <c r="D140" i="3"/>
  <c r="D141" i="1"/>
  <c r="D153" i="1" s="1"/>
  <c r="D154" i="1" s="1"/>
  <c r="D140" i="1" l="1"/>
  <c r="C12" i="15"/>
  <c r="E12" i="15" s="1"/>
  <c r="G12" i="15" s="1"/>
  <c r="H12" i="15" s="1"/>
  <c r="H19" i="15" s="1"/>
  <c r="D136" i="1"/>
  <c r="D137" i="1"/>
  <c r="D135" i="1"/>
  <c r="D138" i="1"/>
  <c r="D139" i="1"/>
  <c r="G56" i="15" l="1"/>
  <c r="G65" i="15" s="1"/>
  <c r="C56" i="15"/>
  <c r="C65" i="15" s="1"/>
  <c r="H61" i="15" l="1"/>
</calcChain>
</file>

<file path=xl/sharedStrings.xml><?xml version="1.0" encoding="utf-8"?>
<sst xmlns="http://schemas.openxmlformats.org/spreadsheetml/2006/main" count="2872" uniqueCount="196">
  <si>
    <t>PLANILHA DE CUSTOS E FORMAÇÃO DE PREÇOS</t>
  </si>
  <si>
    <t>Módulo 1 - Composição da Remuneração</t>
  </si>
  <si>
    <t>Composição da Remuneração</t>
  </si>
  <si>
    <t>Valor (R$)</t>
  </si>
  <si>
    <t>A</t>
  </si>
  <si>
    <t>Salário-Base</t>
  </si>
  <si>
    <t>B</t>
  </si>
  <si>
    <t>Adicional de Periculosidade</t>
  </si>
  <si>
    <t>C</t>
  </si>
  <si>
    <t>Adicional de Insalubridade</t>
  </si>
  <si>
    <t>D</t>
  </si>
  <si>
    <t>Adicional Noturno</t>
  </si>
  <si>
    <t>E</t>
  </si>
  <si>
    <t>Adicional de Hora Noturna Reduzida</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</si>
  <si>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</si>
  <si>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</si>
  <si>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</si>
  <si>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</si>
  <si>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</si>
  <si>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</si>
  <si>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</si>
  <si>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</si>
  <si>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</si>
  <si>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</si>
  <si>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</si>
  <si>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</si>
  <si>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</si>
  <si>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</si>
  <si>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</si>
  <si>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</si>
  <si>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</si>
  <si>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</si>
  <si>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SEBRAE</t>
  </si>
  <si>
    <t>INCRA</t>
  </si>
  <si>
    <t>H</t>
  </si>
  <si>
    <t>FGTS</t>
  </si>
  <si>
    <t xml:space="preserve">Total </t>
  </si>
  <si>
    <t>Submódulo 2.3 - Benefícios Mensais e Diários.</t>
  </si>
  <si>
    <t>2.3</t>
  </si>
  <si>
    <t>Benefícios Mensais e Diários</t>
  </si>
  <si>
    <t>Transporte</t>
  </si>
  <si>
    <t>Auxílio-Refeição/Alimentação</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</si>
  <si>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</si>
  <si>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</si>
  <si>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</si>
  <si>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</si>
  <si>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</si>
  <si>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</si>
  <si>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</si>
  <si>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</si>
  <si>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</si>
  <si>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</si>
  <si>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4.1</t>
  </si>
  <si>
    <t>4.2</t>
  </si>
  <si>
    <t>Quadro-Resumo do Módulo 4 - Custo de Reposição do Profissional Ausente</t>
  </si>
  <si>
    <t>Custo de Reposição do Profissional Ausente</t>
  </si>
  <si>
    <t>Módulo 5 - Insumos Diversos</t>
  </si>
  <si>
    <t>Insumos Diversos</t>
  </si>
  <si>
    <t>Uniformes</t>
  </si>
  <si>
    <t>Materiais</t>
  </si>
  <si>
    <t>Equipamentos</t>
  </si>
  <si>
    <t>Módulo 6 - Custos Indiretos, Tributos e Lucro</t>
  </si>
  <si>
    <t>Custos Indiretos, Tributos e Lucro</t>
  </si>
  <si>
    <t>Custos Indiretos</t>
  </si>
  <si>
    <t>Lucro</t>
  </si>
  <si>
    <t>Tributos</t>
  </si>
  <si>
    <t>C.1. Tributos Federais (especificar)</t>
  </si>
  <si>
    <t>C.2. Tributos Estaduais (especificar)</t>
  </si>
  <si>
    <t>C.3. Tributos Municipais (especificar)</t>
  </si>
  <si>
    <t>2. QUADRO-RESUMO DO CUSTO POR EMPREGADO</t>
  </si>
  <si>
    <t>Mão de obra vinculada à execução contratual (valor por empregado)</t>
  </si>
  <si>
    <t>Módulo 6 – Custos Indiretos, Tributos e Lucro</t>
  </si>
  <si>
    <t xml:space="preserve">Valor Total por Empregado </t>
  </si>
  <si>
    <t>Dados complementares para composição dos custos referente à mão-de-obra</t>
  </si>
  <si>
    <t>Tipo de serviço (mesmo serviço com características distintas)</t>
  </si>
  <si>
    <t>Salário Normativo da Categoria Profissional</t>
  </si>
  <si>
    <t>Categoria profissional (vinculada à execução contratual)</t>
  </si>
  <si>
    <t>Data base da categoria (dia/mês/ano)</t>
  </si>
  <si>
    <t>Submódulo 4.1 - Substituto nas Ausências Legais</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</si>
  <si>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</si>
  <si>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</si>
  <si>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</si>
  <si>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</si>
  <si>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</si>
  <si>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</si>
  <si>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</si>
  <si>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</si>
  <si>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Substituto na Intrajornada</t>
  </si>
  <si>
    <t>Substituto na cobertura de Intervalo para repouso e alimentação</t>
  </si>
  <si>
    <t>Identificação do Serviço</t>
  </si>
  <si>
    <t>Tipo de Serviço</t>
  </si>
  <si>
    <t>Unidade de Medida</t>
  </si>
  <si>
    <t>Quantidade total a contratar (em função da unidade de medida)</t>
  </si>
  <si>
    <t>Classificação Brasileira de Ocupações (CBO)</t>
  </si>
  <si>
    <t>Incidência de GPS, FGTS e outras contribuições sobre o Aviso Prévio Trabalhado</t>
  </si>
  <si>
    <t>Subtotal (A + B +C+ D + E)</t>
  </si>
  <si>
    <t>C.1.A. PIS</t>
  </si>
  <si>
    <t>C.1.B. COFINS</t>
  </si>
  <si>
    <t>C.3.A. ISS</t>
  </si>
  <si>
    <t>VIGILÂNCIA ARMADA DIURNA - Vigilante Supervisor, com jornada de 44 horas semanais, TRAJE SOCIAL</t>
  </si>
  <si>
    <t>posto de serviço</t>
  </si>
  <si>
    <t>Vigilante Supervisor</t>
  </si>
  <si>
    <t>Segurança e Vigilância</t>
  </si>
  <si>
    <t>Adicional do Vigilante Supervisor</t>
  </si>
  <si>
    <t>Seguro de Vida</t>
  </si>
  <si>
    <t>Exame Médico</t>
  </si>
  <si>
    <t>VIGILÂNCIA ARMADA DIURNA - Vigilante Fiscal, 12:00h x 36:00h, TRAJE SOCIAL</t>
  </si>
  <si>
    <t>Vigilante Fiscal</t>
  </si>
  <si>
    <t>Adicional do Vigilante Fiscal</t>
  </si>
  <si>
    <t>VIGILÂNCIA ARMADA NOTURNA - Vigilante Fiscal, 12:00h x 36:00h, TRAJE SOCIAL</t>
  </si>
  <si>
    <t>Prêmio de Trabalho Noturno</t>
  </si>
  <si>
    <t>Prêmio Reciclagem</t>
  </si>
  <si>
    <t>VIGILÂNCIA ARMADA DIURNA - jornada de 44 horas semanais, TRAJE SOCIAL</t>
  </si>
  <si>
    <t>Vigilante</t>
  </si>
  <si>
    <t>Adicional do Vigilante</t>
  </si>
  <si>
    <t>VIGILÂNCIA ARMADA DIURNA - jornada de 44 horas semanais, FARDAMENTO TÁTICO</t>
  </si>
  <si>
    <t>VIGILÂNCIA ARMADA DIURNA - 12:00h x 36:00h, FARDAMENTO TÁTICO</t>
  </si>
  <si>
    <t>Férias</t>
  </si>
  <si>
    <r>
      <t xml:space="preserve">Adicional de Férias </t>
    </r>
    <r>
      <rPr>
        <u/>
        <sz val="10"/>
        <color theme="1"/>
        <rFont val="Times New Roman"/>
        <family val="1"/>
      </rPr>
      <t>ou</t>
    </r>
    <r>
      <rPr>
        <sz val="10"/>
        <color theme="1"/>
        <rFont val="Times New Roman"/>
        <family val="1"/>
      </rPr>
      <t xml:space="preserve"> Prêmio de Férias</t>
    </r>
  </si>
  <si>
    <t>VIGILÂNCIA ARMADA NOTURNA - 12:00h x 36:00h, FARDAMENTO TÁTICO</t>
  </si>
  <si>
    <t>vide detalhamento na última página</t>
  </si>
  <si>
    <t>VIGILÂNCIA ARMADA DIURNA - jornada de 44 horas semanais, FARDAMENTO TÁTICO - postos adicionais, Capital</t>
  </si>
  <si>
    <t>VIGILÂNCIA ARMADA DIURNA - 12:00h x 36:00h, FARDAMENTO TÁTICO - postos adicionais, Interior</t>
  </si>
  <si>
    <t>VIGILÂNCIA ARMADA NOTURNA - 12:00h x 36:00h, FARDAMENTO TÁTICO - postos adicionais, Interior</t>
  </si>
  <si>
    <t>postos com jornada de 44 horas semanais</t>
  </si>
  <si>
    <t>Horas Extras - anos eleitorais</t>
  </si>
  <si>
    <t>Capital</t>
  </si>
  <si>
    <t>Valores Referenciais</t>
  </si>
  <si>
    <t>postos</t>
  </si>
  <si>
    <t>remuneração</t>
  </si>
  <si>
    <t>encargos</t>
  </si>
  <si>
    <t>custos indiretos, lucro e tributos</t>
  </si>
  <si>
    <t>subtotal</t>
  </si>
  <si>
    <t>v.u. hora normal</t>
  </si>
  <si>
    <t>v.u. hora extra seg-sex</t>
  </si>
  <si>
    <t>v.u. hora extra sab</t>
  </si>
  <si>
    <t>v.u. hora extra dom-fer</t>
  </si>
  <si>
    <t>Interior</t>
  </si>
  <si>
    <t>Ano Eleitoral</t>
  </si>
  <si>
    <t>hora extra seg-sex</t>
  </si>
  <si>
    <t>hora extra sab</t>
  </si>
  <si>
    <t>hora extra dom-fer</t>
  </si>
  <si>
    <t>Transporte (VT)</t>
  </si>
  <si>
    <t>horas extras (sem VT e sem VA)</t>
  </si>
  <si>
    <t>VT unitário</t>
  </si>
  <si>
    <t>VT diário</t>
  </si>
  <si>
    <t>VT sábados</t>
  </si>
  <si>
    <t>VT domingos e feriados</t>
  </si>
  <si>
    <t>Alimentação (VA)</t>
  </si>
  <si>
    <t>VA diário</t>
  </si>
  <si>
    <t>VA sábados</t>
  </si>
  <si>
    <t>VA domingos e feriados</t>
  </si>
  <si>
    <t>VT nas horas extras p/vigilante</t>
  </si>
  <si>
    <t>VA nas horas extras p/vigilante</t>
  </si>
  <si>
    <t>VT total nas horas extras</t>
  </si>
  <si>
    <t>VA total nas horas extras</t>
  </si>
  <si>
    <t>horas extras</t>
  </si>
  <si>
    <t>transporte</t>
  </si>
  <si>
    <t>alimentação</t>
  </si>
  <si>
    <t>Custo Total com Horas Extras</t>
  </si>
  <si>
    <t>item</t>
  </si>
  <si>
    <t>profissional</t>
  </si>
  <si>
    <t>valor por profissional</t>
  </si>
  <si>
    <t>profissionais por posto</t>
  </si>
  <si>
    <t>valor do posto</t>
  </si>
  <si>
    <t>quantidade de postos</t>
  </si>
  <si>
    <t>valor mensal</t>
  </si>
  <si>
    <t>valor anual</t>
  </si>
  <si>
    <r>
      <rPr>
        <b/>
        <sz val="10"/>
        <color theme="1"/>
        <rFont val="Times New Roman"/>
        <family val="1"/>
      </rPr>
      <t>Postos Regulares</t>
    </r>
    <r>
      <rPr>
        <sz val="10"/>
        <color theme="1"/>
        <rFont val="Times New Roman"/>
        <family val="1"/>
      </rPr>
      <t xml:space="preserve"> - Alagoinhas, Barra, Barreiras, Brumado, Camaçari, Castro Alves, Cícero Dantas, Conceição do Coité, Conceição do Jacuípe, Coribe, Cruz das Almas, Eunápolis, Feira de Santana, Gandu, Guanambi, Ilhéus, Inhambupe, Ipirá, Ipiaú, Irecê, Itabuna, Itajibá, Itaparica, Ituberá, Jacobina, Jequié, Jeremoabo, Juazeiro, Livramento de Nossa Senhora, Mata de São João, Nazaré, Paulo Afonso, Porto Seguro, Remanso, Riacho de Santana, Ribeira do Pombal, São Felipe, São Francisco do Conde, Seabra, Serrinha, Tucano, Ubatã, Valença e Vitória da Conquista</t>
    </r>
  </si>
  <si>
    <r>
      <rPr>
        <b/>
        <sz val="10"/>
        <color theme="1"/>
        <rFont val="Times New Roman"/>
        <family val="1"/>
      </rPr>
      <t>Postos Regulares</t>
    </r>
    <r>
      <rPr>
        <sz val="10"/>
        <color theme="1"/>
        <rFont val="Times New Roman"/>
        <family val="1"/>
      </rPr>
      <t xml:space="preserve"> - Salvador</t>
    </r>
  </si>
  <si>
    <r>
      <rPr>
        <b/>
        <sz val="10"/>
        <color theme="1"/>
        <rFont val="Times New Roman"/>
        <family val="1"/>
      </rPr>
      <t>Postos Temporários</t>
    </r>
    <r>
      <rPr>
        <sz val="10"/>
        <color theme="1"/>
        <rFont val="Times New Roman"/>
        <family val="1"/>
      </rPr>
      <t xml:space="preserve"> - Capital - 10 dias antes do encerramento do cadastro eleitoral</t>
    </r>
  </si>
  <si>
    <t>valor total
10 dias</t>
  </si>
  <si>
    <r>
      <rPr>
        <b/>
        <sz val="10"/>
        <color theme="1"/>
        <rFont val="Times New Roman"/>
        <family val="1"/>
      </rPr>
      <t>Postos Temporários</t>
    </r>
    <r>
      <rPr>
        <sz val="10"/>
        <color theme="1"/>
        <rFont val="Times New Roman"/>
        <family val="1"/>
      </rPr>
      <t xml:space="preserve"> - Capital - 22 dias antes até 3 dias após a realização da votação no 1º e 2º turno, se houver</t>
    </r>
  </si>
  <si>
    <t>valor total
53 dias</t>
  </si>
  <si>
    <r>
      <rPr>
        <b/>
        <sz val="10"/>
        <color theme="1"/>
        <rFont val="Times New Roman"/>
        <family val="1"/>
      </rPr>
      <t>Postos Temporários</t>
    </r>
    <r>
      <rPr>
        <sz val="10"/>
        <color theme="1"/>
        <rFont val="Times New Roman"/>
        <family val="1"/>
      </rPr>
      <t xml:space="preserve"> - Interior - 10 dias antes do encerramento do cadastro eleitoral</t>
    </r>
  </si>
  <si>
    <r>
      <rPr>
        <b/>
        <sz val="10"/>
        <color theme="1"/>
        <rFont val="Times New Roman"/>
        <family val="1"/>
      </rPr>
      <t>Postos Temporários</t>
    </r>
    <r>
      <rPr>
        <sz val="10"/>
        <color theme="1"/>
        <rFont val="Times New Roman"/>
        <family val="1"/>
      </rPr>
      <t xml:space="preserve"> - Interior - 40 dias antes até 10 dias após a realização da votação no 1º e 2º turno, se houver</t>
    </r>
  </si>
  <si>
    <t>valor total
78 dias</t>
  </si>
  <si>
    <r>
      <rPr>
        <b/>
        <sz val="10"/>
        <color theme="1"/>
        <rFont val="Times New Roman"/>
        <family val="1"/>
      </rPr>
      <t>Postos Temporários</t>
    </r>
    <r>
      <rPr>
        <sz val="10"/>
        <color theme="1"/>
        <rFont val="Times New Roman"/>
        <family val="1"/>
      </rPr>
      <t xml:space="preserve"> - Interior - Pólos Temporários - Bom Jesus da Lapa, Conceição do Coité, Eunápolis, Itapetinga, PauloAfonso e Teixeira de Freitas - 80 dias antes até 10 dias após a realização da votação no 1º e 2º turno, se houver</t>
    </r>
  </si>
  <si>
    <t>valor total
118 dias</t>
  </si>
  <si>
    <t>Valor Total Estimado</t>
  </si>
  <si>
    <t>Ano Não Eleitoral</t>
  </si>
  <si>
    <t>Postos Regulares</t>
  </si>
  <si>
    <t>Postos Fechamento Cadastro</t>
  </si>
  <si>
    <t>Postos 1º e 2º Turnos</t>
  </si>
  <si>
    <t>Horas Extras</t>
  </si>
  <si>
    <t>Postos Pólos Temporários</t>
  </si>
  <si>
    <t>Total Ano Eleitoral</t>
  </si>
  <si>
    <t>Total Ano Não Eleitoral</t>
  </si>
  <si>
    <t>Total Estimado da Contratação</t>
  </si>
  <si>
    <t>Quadro Resumo - Valor Total Estimado - 24 meses</t>
  </si>
  <si>
    <t>Prêmio Dia do Vigilante</t>
  </si>
  <si>
    <t>EPIs</t>
  </si>
  <si>
    <t>VIGILÂNCIA ARMADA DIURNA - jornada de 44 horas semanais, FARDAMENTO TÁTICO - postos adicionais, Interior</t>
  </si>
  <si>
    <t>Outros - Curso de Formação / Reciclagem</t>
  </si>
  <si>
    <r>
      <rPr>
        <b/>
        <sz val="10"/>
        <color theme="1"/>
        <rFont val="Times New Roman"/>
        <family val="1"/>
      </rPr>
      <t>Postos Regulares</t>
    </r>
    <r>
      <rPr>
        <sz val="10"/>
        <color theme="1"/>
        <rFont val="Times New Roman"/>
        <family val="1"/>
      </rPr>
      <t xml:space="preserve"> - Camaçari, Feira de Santana e Vitória da Conquista</t>
    </r>
  </si>
  <si>
    <r>
      <rPr>
        <b/>
        <sz val="10"/>
        <color theme="1"/>
        <rFont val="Times New Roman"/>
        <family val="1"/>
      </rPr>
      <t>Postos Regulares</t>
    </r>
    <r>
      <rPr>
        <sz val="10"/>
        <color theme="1"/>
        <rFont val="Times New Roman"/>
        <family val="1"/>
      </rPr>
      <t xml:space="preserve"> - Camaçari e Feira de Santana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</si>
</sst>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_);_(* \(#,##0.00\);_(* \-??_);_(@_)"/>
  </numFmts>
  <fonts count="10" x14ac:knownFonts="1">
    <font>
      <sz val="11"/>
      <color theme="1"/>
      <name val="Calibri"/>
      <family val="2"/>
      <scheme val="minor"/>
    </font>
    <font>
      <sz val="11"/>
      <color theme="1"/>
      <name val="Calibri"/>
      <family val="2"/>
      <scheme val="minor"/>
    </font>
    <font>
      <sz val="11"/>
      <color indexed="64"/>
      <name val="Calibri"/>
      <family val="2"/>
      <scheme val="minor"/>
    </font>
    <font>
      <sz val="10"/>
      <name val="Arial"/>
      <family val="2"/>
    </font>
    <font>
      <sz val="10"/>
      <color theme="1"/>
      <name val="Times New Roman"/>
      <family val="1"/>
    </font>
    <font>
      <b/>
      <sz val="10"/>
      <color theme="1"/>
      <name val="Times New Roman"/>
      <family val="1"/>
    </font>
    <font>
      <b/>
      <sz val="12"/>
      <color theme="0"/>
      <name val="Times New Roman"/>
      <family val="1"/>
    </font>
    <font>
      <b/>
      <i/>
      <sz val="10"/>
      <color theme="1"/>
      <name val="Times New Roman"/>
      <family val="1"/>
    </font>
    <font>
      <u/>
      <sz val="10"/>
      <color theme="1"/>
      <name val="Times New Roman"/>
      <family val="1"/>
    </font>
    <font>
      <b/>
      <sz val="12"/>
      <color theme="1"/>
      <name val="Times New Roman"/>
      <family val="1"/>
    </font>
  </fonts>
  <fills count="8">
    <fill>
      <patternFill patternType="none"/>
    </fill>
    <fill>
      <patternFill patternType="gray125"/>
    </fill>
    <fill>
      <patternFill patternType="solid">
        <fgColor theme="5" tint="0.59999389629810485"/>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s>
  <cellStyleXfs count="12">
    <xf numFmtId="0" fontId="0" fillId="0" borderId="0"/>
    <xf numFmtId="0" fontId="2" fillId="0" borderId="0"/>
    <xf numFmtId="164" fontId="3"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32">
    <xf numFmtId="0" fontId="0" fillId="0" borderId="0" xfId="0"/>
    <xf numFmtId="0" fontId="4" fillId="0" borderId="0" xfId="0" applyFont="1"/>
    <xf numFmtId="0" fontId="5" fillId="0" borderId="0" xfId="0" applyFont="1" applyFill="1" applyBorder="1" applyAlignment="1">
      <alignment horizontal="center" vertical="center"/>
    </xf>
    <xf numFmtId="0" fontId="5" fillId="0" borderId="0" xfId="0" applyFont="1" applyAlignment="1">
      <alignment vertical="center"/>
    </xf>
    <xf numFmtId="0" fontId="4" fillId="0" borderId="0" xfId="0" applyFont="1" applyAlignment="1">
      <alignment vertical="center"/>
    </xf>
    <xf numFmtId="0" fontId="4" fillId="0" borderId="1" xfId="0" applyFont="1" applyBorder="1"/>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vertical="center" wrapText="1"/>
    </xf>
    <xf numFmtId="10" fontId="4" fillId="0" borderId="1" xfId="11" applyNumberFormat="1" applyFont="1" applyBorder="1" applyAlignment="1">
      <alignment horizontal="center" vertical="center" wrapText="1"/>
    </xf>
    <xf numFmtId="43" fontId="4" fillId="0" borderId="1" xfId="10" applyFont="1" applyBorder="1" applyAlignment="1">
      <alignment horizontal="center" vertical="center" wrapText="1"/>
    </xf>
    <xf numFmtId="43" fontId="4"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0" fontId="4" fillId="2" borderId="1" xfId="11" applyNumberFormat="1" applyFont="1" applyFill="1" applyBorder="1" applyAlignment="1">
      <alignment horizontal="center" vertical="center" wrapText="1"/>
    </xf>
    <xf numFmtId="43" fontId="5" fillId="0" borderId="1" xfId="0" applyNumberFormat="1" applyFont="1" applyBorder="1" applyAlignment="1">
      <alignment horizontal="center" vertical="center" wrapText="1"/>
    </xf>
    <xf numFmtId="43" fontId="5" fillId="0" borderId="1" xfId="10" applyFont="1" applyBorder="1" applyAlignment="1">
      <alignment horizontal="center" vertical="center" wrapText="1"/>
    </xf>
    <xf numFmtId="10" fontId="7" fillId="0" borderId="3" xfId="11" applyNumberFormat="1" applyFont="1" applyBorder="1" applyAlignment="1">
      <alignment horizontal="center" vertical="center" wrapText="1"/>
    </xf>
    <xf numFmtId="43" fontId="4" fillId="0" borderId="1" xfId="0" applyNumberFormat="1" applyFont="1" applyBorder="1" applyAlignment="1">
      <alignment vertical="center" wrapText="1"/>
    </xf>
    <xf numFmtId="43" fontId="5" fillId="0" borderId="1" xfId="0" applyNumberFormat="1" applyFont="1" applyBorder="1" applyAlignment="1">
      <alignment vertical="center" wrapText="1"/>
    </xf>
    <xf numFmtId="43" fontId="4" fillId="0" borderId="1" xfId="10" applyFont="1" applyBorder="1" applyAlignment="1">
      <alignment vertical="center" wrapText="1"/>
    </xf>
    <xf numFmtId="0" fontId="4" fillId="0" borderId="1" xfId="0" applyFont="1" applyBorder="1" applyAlignment="1">
      <alignment vertical="center" wrapText="1"/>
    </xf>
    <xf numFmtId="0" fontId="6" fillId="0" borderId="0" xfId="0" applyFont="1" applyFill="1" applyAlignment="1">
      <alignment horizontal="center"/>
    </xf>
    <xf numFmtId="0" fontId="4" fillId="0" borderId="1" xfId="0" applyFont="1" applyBorder="1" applyAlignment="1">
      <alignment horizontal="left" vertical="center" wrapText="1"/>
    </xf>
    <xf numFmtId="10" fontId="5" fillId="0" borderId="3" xfId="0" applyNumberFormat="1"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4" fillId="0" borderId="3" xfId="11" applyNumberFormat="1"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xf numFmtId="0" fontId="4" fillId="0" borderId="5" xfId="0" applyFont="1" applyBorder="1" applyAlignment="1">
      <alignment horizontal="center" vertical="center"/>
    </xf>
    <xf numFmtId="0" fontId="4" fillId="0" borderId="5" xfId="0" applyFont="1" applyBorder="1"/>
    <xf numFmtId="0" fontId="4" fillId="0" borderId="14" xfId="0" applyFont="1" applyBorder="1"/>
    <xf numFmtId="0" fontId="4" fillId="0" borderId="15" xfId="0" applyFont="1" applyBorder="1"/>
    <xf numFmtId="43" fontId="4" fillId="0" borderId="16" xfId="0" applyNumberFormat="1" applyFont="1" applyBorder="1"/>
    <xf numFmtId="10" fontId="4" fillId="0" borderId="15" xfId="0" applyNumberFormat="1" applyFont="1" applyBorder="1"/>
    <xf numFmtId="9" fontId="4" fillId="0" borderId="15" xfId="0" applyNumberFormat="1" applyFont="1" applyBorder="1"/>
    <xf numFmtId="0" fontId="4" fillId="0" borderId="17" xfId="0" applyFont="1" applyBorder="1"/>
    <xf numFmtId="0" fontId="5" fillId="0" borderId="15" xfId="0" applyFont="1" applyBorder="1"/>
    <xf numFmtId="0" fontId="4" fillId="7" borderId="15" xfId="0" applyFont="1" applyFill="1" applyBorder="1"/>
    <xf numFmtId="0" fontId="4" fillId="7" borderId="17" xfId="0" applyFont="1" applyFill="1" applyBorder="1"/>
    <xf numFmtId="43" fontId="4" fillId="7" borderId="16" xfId="0" applyNumberFormat="1" applyFont="1" applyFill="1" applyBorder="1"/>
    <xf numFmtId="10" fontId="4" fillId="7" borderId="15" xfId="0" applyNumberFormat="1" applyFont="1" applyFill="1" applyBorder="1"/>
    <xf numFmtId="9" fontId="4" fillId="7" borderId="15" xfId="0" applyNumberFormat="1" applyFont="1" applyFill="1" applyBorder="1"/>
    <xf numFmtId="43" fontId="5" fillId="7" borderId="16" xfId="0" applyNumberFormat="1" applyFont="1" applyFill="1" applyBorder="1"/>
    <xf numFmtId="43" fontId="5" fillId="0" borderId="16" xfId="0" applyNumberFormat="1" applyFont="1" applyBorder="1"/>
    <xf numFmtId="0" fontId="5" fillId="7" borderId="15" xfId="0" applyFont="1" applyFill="1" applyBorder="1"/>
    <xf numFmtId="0" fontId="5" fillId="0" borderId="5" xfId="0" applyFont="1" applyBorder="1"/>
    <xf numFmtId="0" fontId="4" fillId="0" borderId="5" xfId="0" applyFont="1" applyFill="1" applyBorder="1" applyAlignment="1">
      <alignment horizontal="center" vertical="center"/>
    </xf>
    <xf numFmtId="0" fontId="4" fillId="0" borderId="5" xfId="0" applyFont="1" applyFill="1" applyBorder="1"/>
    <xf numFmtId="43" fontId="4" fillId="0" borderId="0" xfId="0" applyNumberFormat="1" applyFont="1" applyAlignment="1">
      <alignment horizontal="center" vertical="center" wrapText="1"/>
    </xf>
    <xf numFmtId="43" fontId="4" fillId="0" borderId="5" xfId="0" applyNumberFormat="1" applyFont="1" applyBorder="1"/>
    <xf numFmtId="0" fontId="4" fillId="0" borderId="6" xfId="0" applyFont="1" applyFill="1" applyBorder="1"/>
    <xf numFmtId="0" fontId="4" fillId="0" borderId="7" xfId="0" applyFont="1" applyFill="1" applyBorder="1"/>
    <xf numFmtId="43" fontId="4" fillId="0" borderId="8" xfId="0" applyNumberFormat="1" applyFont="1" applyFill="1" applyBorder="1"/>
    <xf numFmtId="0" fontId="4" fillId="0" borderId="9" xfId="0" applyFont="1" applyFill="1" applyBorder="1"/>
    <xf numFmtId="0" fontId="4" fillId="0" borderId="0" xfId="0" applyFont="1" applyFill="1" applyBorder="1"/>
    <xf numFmtId="43" fontId="4" fillId="0" borderId="10" xfId="0" applyNumberFormat="1" applyFont="1" applyFill="1" applyBorder="1"/>
    <xf numFmtId="0" fontId="4" fillId="0" borderId="10" xfId="0" applyFont="1" applyFill="1" applyBorder="1"/>
    <xf numFmtId="0" fontId="4" fillId="0" borderId="11" xfId="0" applyFont="1" applyFill="1" applyBorder="1"/>
    <xf numFmtId="0" fontId="4" fillId="0" borderId="12" xfId="0" applyFont="1" applyFill="1" applyBorder="1"/>
    <xf numFmtId="0" fontId="4" fillId="0" borderId="13" xfId="0" applyFont="1" applyFill="1" applyBorder="1"/>
    <xf numFmtId="0" fontId="4" fillId="0" borderId="5" xfId="0" applyFont="1" applyBorder="1" applyAlignment="1">
      <alignment horizontal="center" vertical="center" wrapText="1"/>
    </xf>
    <xf numFmtId="43" fontId="4" fillId="0" borderId="5" xfId="0" applyNumberFormat="1" applyFont="1" applyBorder="1" applyAlignment="1">
      <alignment horizontal="center" vertical="center" wrapText="1"/>
    </xf>
    <xf numFmtId="43" fontId="5" fillId="0" borderId="5" xfId="0" applyNumberFormat="1" applyFont="1" applyBorder="1"/>
    <xf numFmtId="0" fontId="4" fillId="6" borderId="5" xfId="0" applyFont="1" applyFill="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2" xfId="0" applyFont="1" applyBorder="1" applyAlignment="1">
      <alignment horizontal="center"/>
    </xf>
    <xf numFmtId="0" fontId="4" fillId="0" borderId="3" xfId="0" applyFont="1" applyBorder="1" applyAlignment="1">
      <alignment horizontal="center"/>
    </xf>
    <xf numFmtId="0" fontId="5" fillId="0" borderId="1" xfId="0" applyFont="1" applyBorder="1" applyAlignment="1">
      <alignment horizontal="center" vertical="center" wrapText="1"/>
    </xf>
    <xf numFmtId="0" fontId="4" fillId="0" borderId="1" xfId="0" applyFont="1" applyBorder="1" applyAlignment="1">
      <alignment vertical="center" wrapText="1"/>
    </xf>
    <xf numFmtId="14" fontId="4" fillId="0" borderId="2" xfId="0" applyNumberFormat="1" applyFont="1" applyBorder="1" applyAlignment="1">
      <alignment horizontal="center"/>
    </xf>
    <xf numFmtId="0" fontId="5" fillId="5" borderId="0" xfId="0" applyFont="1" applyFill="1" applyBorder="1" applyAlignment="1">
      <alignment horizontal="center" vertical="center"/>
    </xf>
    <xf numFmtId="0" fontId="5" fillId="5" borderId="0" xfId="0" applyFont="1" applyFill="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5" fillId="0" borderId="1" xfId="0" applyFont="1" applyBorder="1" applyAlignment="1">
      <alignment vertical="center" wrapText="1"/>
    </xf>
    <xf numFmtId="0" fontId="5" fillId="0" borderId="4" xfId="0" applyFont="1" applyBorder="1" applyAlignment="1">
      <alignment horizontal="center" vertical="center" wrapText="1"/>
    </xf>
    <xf numFmtId="0" fontId="5" fillId="0" borderId="1" xfId="0" applyFont="1" applyBorder="1" applyAlignment="1">
      <alignment horizontal="left" vertical="center" wrapText="1"/>
    </xf>
    <xf numFmtId="0" fontId="5" fillId="3" borderId="0" xfId="0" applyFont="1" applyFill="1" applyBorder="1" applyAlignment="1">
      <alignment horizontal="center" vertical="center"/>
    </xf>
    <xf numFmtId="0" fontId="6" fillId="4" borderId="0" xfId="0" applyFont="1" applyFill="1" applyAlignment="1">
      <alignment horizontal="center"/>
    </xf>
    <xf numFmtId="0" fontId="5" fillId="3"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7" borderId="6" xfId="0" applyFont="1" applyFill="1" applyBorder="1" applyAlignment="1">
      <alignment horizontal="center"/>
    </xf>
    <xf numFmtId="0" fontId="5" fillId="7" borderId="7" xfId="0" applyFont="1" applyFill="1" applyBorder="1" applyAlignment="1">
      <alignment horizontal="center"/>
    </xf>
    <xf numFmtId="0" fontId="5" fillId="7" borderId="8" xfId="0" applyFont="1" applyFill="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4" fillId="7" borderId="16"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7" borderId="5" xfId="0" applyFont="1" applyFill="1" applyBorder="1" applyAlignment="1">
      <alignment horizontal="center"/>
    </xf>
    <xf numFmtId="0" fontId="5" fillId="0" borderId="5" xfId="0" applyFont="1" applyBorder="1" applyAlignment="1">
      <alignment horizontal="center"/>
    </xf>
    <xf numFmtId="0" fontId="5" fillId="6" borderId="5" xfId="0" applyFont="1" applyFill="1" applyBorder="1" applyAlignment="1">
      <alignment horizontal="center"/>
    </xf>
    <xf numFmtId="43" fontId="4" fillId="7" borderId="16" xfId="0" applyNumberFormat="1" applyFont="1" applyFill="1" applyBorder="1" applyAlignment="1">
      <alignment horizontal="center" vertical="center"/>
    </xf>
    <xf numFmtId="0" fontId="4" fillId="7" borderId="5" xfId="0" applyFont="1" applyFill="1" applyBorder="1" applyAlignment="1">
      <alignment horizontal="center" vertical="center"/>
    </xf>
    <xf numFmtId="43" fontId="4" fillId="0" borderId="5" xfId="0" applyNumberFormat="1" applyFont="1" applyBorder="1" applyAlignment="1">
      <alignment horizontal="center" vertical="center"/>
    </xf>
    <xf numFmtId="0" fontId="4" fillId="0" borderId="5" xfId="0" applyFont="1" applyBorder="1" applyAlignment="1">
      <alignment horizontal="center" vertical="center"/>
    </xf>
    <xf numFmtId="43" fontId="4" fillId="6" borderId="5" xfId="0" applyNumberFormat="1" applyFont="1" applyFill="1" applyBorder="1" applyAlignment="1">
      <alignment horizontal="center" vertical="center"/>
    </xf>
    <xf numFmtId="0" fontId="4" fillId="6" borderId="5" xfId="0" applyFont="1" applyFill="1" applyBorder="1" applyAlignment="1">
      <alignment horizontal="center" vertical="center"/>
    </xf>
    <xf numFmtId="43" fontId="5" fillId="6" borderId="15" xfId="10" applyFont="1" applyFill="1" applyBorder="1" applyAlignment="1">
      <alignment horizontal="center"/>
    </xf>
    <xf numFmtId="43" fontId="5" fillId="6" borderId="16" xfId="10" applyFont="1" applyFill="1" applyBorder="1" applyAlignment="1">
      <alignment horizontal="center"/>
    </xf>
    <xf numFmtId="0" fontId="4" fillId="0" borderId="5" xfId="0" applyFont="1" applyBorder="1"/>
    <xf numFmtId="0" fontId="4" fillId="0" borderId="0" xfId="0" applyFont="1" applyAlignment="1">
      <alignment wrapText="1"/>
    </xf>
    <xf numFmtId="0" fontId="4" fillId="0" borderId="0" xfId="0" applyFont="1" applyAlignment="1">
      <alignment horizontal="left" vertical="center" wrapText="1"/>
    </xf>
    <xf numFmtId="0" fontId="4" fillId="0" borderId="0" xfId="0" applyFont="1" applyAlignment="1">
      <alignment vertical="center" wrapText="1"/>
    </xf>
    <xf numFmtId="0" fontId="9" fillId="0" borderId="0" xfId="0" applyFont="1" applyAlignment="1">
      <alignment horizontal="center"/>
    </xf>
    <xf numFmtId="0" fontId="4" fillId="0" borderId="5" xfId="0" applyFont="1" applyBorder="1" applyAlignment="1">
      <alignment horizontal="center"/>
    </xf>
    <xf numFmtId="0" fontId="5" fillId="6" borderId="5" xfId="0" applyFont="1" applyFill="1" applyBorder="1" applyAlignment="1">
      <alignment horizontal="center" vertical="center" wrapText="1"/>
    </xf>
    <xf numFmtId="43" fontId="5" fillId="6" borderId="5" xfId="10" applyFont="1" applyFill="1" applyBorder="1" applyAlignment="1">
      <alignment horizontal="center" vertical="center"/>
    </xf>
    <xf numFmtId="0" fontId="5" fillId="0" borderId="12" xfId="0" applyFont="1" applyBorder="1" applyAlignment="1">
      <alignment horizontal="center" vertical="center" wrapText="1"/>
    </xf>
    <xf numFmtId="0" fontId="4" fillId="0" borderId="12" xfId="0" applyFont="1" applyBorder="1" applyAlignment="1">
      <alignment horizontal="center" vertical="center" wrapText="1"/>
    </xf>
  </cellXfs>
  <cellStyles count="12">
    <cellStyle name="Normal" xfId="0" builtinId="0"/>
    <cellStyle name="Normal 2" xfId="1"/>
    <cellStyle name="Porcentagem" xfId="11" builtinId="5"/>
    <cellStyle name="Vírgula" xfId="10" builtinId="3"/>
    <cellStyle name="Vírgula 2" xfId="2"/>
    <cellStyle name="Vírgula 3" xfId="3"/>
    <cellStyle name="Vírgula 3 2" xfId="4"/>
    <cellStyle name="Vírgula 4" xfId="5"/>
    <cellStyle name="Vírgula 4 2" xfId="6"/>
    <cellStyle name="Vírgula 5" xfId="7"/>
    <cellStyle name="Vírgula 5 2" xfId="8"/>
    <cellStyle name="Vírgula 6"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5</xdr:col>
      <xdr:colOff>24842</xdr:colOff>
      <xdr:row>6</xdr:row>
      <xdr:rowOff>82826</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0" y="0"/>
          <a:ext cx="2834717" cy="1054376"/>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38" zoomScale="115" zoomScaleNormal="115" workbookViewId="0">
      <selection activeCell="D124" sqref="D124"/>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7" t="s">
        <v>91</v>
      </c>
      <c r="D5" s="25" t="s">
        <v>92</v>
      </c>
    </row>
    <row r="6" spans="1:4" ht="25.5" customHeight="1" x14ac:dyDescent="0.2">
      <c r="A6" s="85" t="s">
        <v>99</v>
      </c>
      <c r="B6" s="86"/>
      <c r="C6" s="35" t="s">
        <v>100</v>
      </c>
      <c r="D6" s="35">
        <v>1</v>
      </c>
    </row>
    <row r="8" spans="1:4" x14ac:dyDescent="0.2">
      <c r="A8" s="92" t="s">
        <v>73</v>
      </c>
      <c r="B8" s="92"/>
      <c r="C8" s="92"/>
      <c r="D8" s="92"/>
    </row>
    <row r="9" spans="1:4" x14ac:dyDescent="0.2">
      <c r="A9" s="2"/>
      <c r="B9" s="2"/>
      <c r="C9" s="2"/>
      <c r="D9" s="2"/>
    </row>
    <row r="10" spans="1:4" x14ac:dyDescent="0.2">
      <c r="A10" s="5">
        <v>1</v>
      </c>
      <c r="B10" s="5" t="s">
        <v>74</v>
      </c>
      <c r="C10" s="87" t="s">
        <v>101</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6">
        <v>1</v>
      </c>
      <c r="B18" s="89" t="s">
        <v>2</v>
      </c>
      <c r="C18" s="89"/>
      <c r="D18" s="6" t="s">
        <v>3</v>
      </c>
    </row>
    <row r="19" spans="1:4" x14ac:dyDescent="0.2">
      <c r="A19" s="7" t="s">
        <v>4</v>
      </c>
      <c r="B19" s="90" t="s">
        <v>5</v>
      </c>
      <c r="C19" s="90"/>
      <c r="D19" s="13">
        <v>1374.81</v>
      </c>
    </row>
    <row r="20" spans="1:4" x14ac:dyDescent="0.2">
      <c r="A20" s="7" t="s">
        <v>6</v>
      </c>
      <c r="B20" s="90" t="s">
        <v>7</v>
      </c>
      <c r="C20" s="90"/>
      <c r="D20" s="13">
        <f>D19*0.3</f>
        <v>412.44299999999998</v>
      </c>
    </row>
    <row r="21" spans="1:4" x14ac:dyDescent="0.2">
      <c r="A21" s="7" t="s">
        <v>8</v>
      </c>
      <c r="B21" s="90" t="s">
        <v>9</v>
      </c>
      <c r="C21" s="90"/>
      <c r="D21" s="13"/>
    </row>
    <row r="22" spans="1:4" x14ac:dyDescent="0.2">
      <c r="A22" s="7" t="s">
        <v>10</v>
      </c>
      <c r="B22" s="90" t="s">
        <v>11</v>
      </c>
      <c r="C22" s="90"/>
      <c r="D22" s="13"/>
    </row>
    <row r="23" spans="1:4" x14ac:dyDescent="0.2">
      <c r="A23" s="7" t="s">
        <v>12</v>
      </c>
      <c r="B23" s="90" t="s">
        <v>13</v>
      </c>
      <c r="C23" s="90"/>
      <c r="D23" s="13"/>
    </row>
    <row r="24" spans="1:4" x14ac:dyDescent="0.2">
      <c r="A24" s="7" t="s">
        <v>31</v>
      </c>
      <c r="B24" s="90" t="s">
        <v>103</v>
      </c>
      <c r="C24" s="90"/>
      <c r="D24" s="13">
        <f>D19*0.5</f>
        <v>687.40499999999997</v>
      </c>
    </row>
    <row r="25" spans="1:4" x14ac:dyDescent="0.2">
      <c r="A25" s="7" t="s">
        <v>14</v>
      </c>
      <c r="B25" s="90" t="s">
        <v>15</v>
      </c>
      <c r="C25" s="90"/>
      <c r="D25" s="13"/>
    </row>
    <row r="26" spans="1:4" x14ac:dyDescent="0.2">
      <c r="A26" s="89" t="s">
        <v>16</v>
      </c>
      <c r="B26" s="89"/>
      <c r="C26" s="89"/>
      <c r="D26" s="18">
        <f>SUM(D19:D25)</f>
        <v>2474.6579999999999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6" t="s">
        <v>19</v>
      </c>
      <c r="B33" s="89" t="s">
        <v>20</v>
      </c>
      <c r="C33" s="89"/>
      <c r="D33" s="6" t="s">
        <v>3</v>
      </c>
    </row>
    <row r="34" spans="1:4" x14ac:dyDescent="0.2">
      <c r="A34" s="7" t="s">
        <v>4</v>
      </c>
      <c r="B34" s="8" t="s">
        <v>21</v>
      </c>
      <c r="C34" s="12">
        <f>TRUNC(1/12,4)</f>
        <v>8.3299999999999999E-2</v>
      </c>
      <c r="D34" s="13">
        <f>TRUNC($D$26*C34,2)</f>
        <v>206.13</v>
      </c>
    </row>
    <row r="35" spans="1:4" x14ac:dyDescent="0.2">
      <c r="A35" s="7" t="s">
        <v>6</v>
      </c>
      <c r="B35" s="8" t="s">
        <v>117</v>
      </c>
      <c r="C35" s="12">
        <f>TRUNC(((1)/12),4)</f>
        <v>8.3299999999999999E-2</v>
      </c>
      <c r="D35" s="13">
        <f>TRUNC($D$26*C35,2)</f>
        <v>206.13</v>
      </c>
    </row>
    <row r="36" spans="1:4" x14ac:dyDescent="0.2">
      <c r="A36" s="34" t="s">
        <v>8</v>
      </c>
      <c r="B36" s="31" t="s">
        <v>118</v>
      </c>
      <c r="C36" s="36">
        <f>TRUNC(((1/3)/12),4)</f>
        <v>2.7699999999999999E-2</v>
      </c>
      <c r="D36" s="13">
        <f>TRUNC($D$26*C36,2)</f>
        <v>68.540000000000006</v>
      </c>
    </row>
    <row r="37" spans="1:4" x14ac:dyDescent="0.2">
      <c r="A37" s="89" t="s">
        <v>16</v>
      </c>
      <c r="B37" s="89"/>
      <c r="C37" s="26">
        <f>SUM(C34:C36)</f>
        <v>0.1943</v>
      </c>
      <c r="D37" s="17">
        <f>SUM(D34:D36)</f>
        <v>480.8</v>
      </c>
    </row>
    <row r="40" spans="1:4" x14ac:dyDescent="0.2">
      <c r="A40" s="101" t="s">
        <v>22</v>
      </c>
      <c r="B40" s="101"/>
      <c r="C40" s="101"/>
      <c r="D40" s="101"/>
    </row>
    <row r="42" spans="1:4" x14ac:dyDescent="0.2">
      <c r="A42" s="6" t="s">
        <v>23</v>
      </c>
      <c r="B42" s="6" t="s">
        <v>24</v>
      </c>
      <c r="C42" s="6" t="s">
        <v>25</v>
      </c>
      <c r="D42" s="6" t="s">
        <v>3</v>
      </c>
    </row>
    <row r="43" spans="1:4" x14ac:dyDescent="0.2">
      <c r="A43" s="7" t="s">
        <v>4</v>
      </c>
      <c r="B43" s="8" t="s">
        <v>26</v>
      </c>
      <c r="C43" s="9">
        <v>0.2</v>
      </c>
      <c r="D43" s="13">
        <f>TRUNC(($D$26+$D$37)*C43,2)</f>
        <v>591.09</v>
      </c>
    </row>
    <row r="44" spans="1:4" x14ac:dyDescent="0.2">
      <c r="A44" s="7" t="s">
        <v>6</v>
      </c>
      <c r="B44" s="8" t="s">
        <v>27</v>
      </c>
      <c r="C44" s="9">
        <v>2.5000000000000001E-2</v>
      </c>
      <c r="D44" s="13">
        <f t="shared" ref="D44:D50" si="0">TRUNC(($D$26+$D$37)*C44,2)</f>
        <v>73.88</v>
      </c>
    </row>
    <row r="45" spans="1:4" x14ac:dyDescent="0.2">
      <c r="A45" s="7" t="s">
        <v>8</v>
      </c>
      <c r="B45" s="8" t="s">
        <v>28</v>
      </c>
      <c r="C45" s="16">
        <v>0.03</v>
      </c>
      <c r="D45" s="13">
        <f t="shared" si="0"/>
        <v>88.66</v>
      </c>
    </row>
    <row r="46" spans="1:4" x14ac:dyDescent="0.2">
      <c r="A46" s="7" t="s">
        <v>10</v>
      </c>
      <c r="B46" s="8" t="s">
        <v>29</v>
      </c>
      <c r="C46" s="9">
        <v>1.4999999999999999E-2</v>
      </c>
      <c r="D46" s="13">
        <f t="shared" si="0"/>
        <v>44.33</v>
      </c>
    </row>
    <row r="47" spans="1:4" x14ac:dyDescent="0.2">
      <c r="A47" s="7" t="s">
        <v>12</v>
      </c>
      <c r="B47" s="8" t="s">
        <v>30</v>
      </c>
      <c r="C47" s="9">
        <v>0.01</v>
      </c>
      <c r="D47" s="13">
        <f t="shared" si="0"/>
        <v>29.55</v>
      </c>
    </row>
    <row r="48" spans="1:4" x14ac:dyDescent="0.2">
      <c r="A48" s="7" t="s">
        <v>31</v>
      </c>
      <c r="B48" s="8" t="s">
        <v>32</v>
      </c>
      <c r="C48" s="9">
        <v>6.0000000000000001E-3</v>
      </c>
      <c r="D48" s="13">
        <f t="shared" si="0"/>
        <v>17.73</v>
      </c>
    </row>
    <row r="49" spans="1:4" x14ac:dyDescent="0.2">
      <c r="A49" s="7" t="s">
        <v>14</v>
      </c>
      <c r="B49" s="8" t="s">
        <v>33</v>
      </c>
      <c r="C49" s="9">
        <v>2E-3</v>
      </c>
      <c r="D49" s="13">
        <f t="shared" si="0"/>
        <v>5.91</v>
      </c>
    </row>
    <row r="50" spans="1:4" x14ac:dyDescent="0.2">
      <c r="A50" s="7" t="s">
        <v>34</v>
      </c>
      <c r="B50" s="8" t="s">
        <v>35</v>
      </c>
      <c r="C50" s="9">
        <v>0.08</v>
      </c>
      <c r="D50" s="13">
        <f t="shared" si="0"/>
        <v>236.43</v>
      </c>
    </row>
    <row r="51" spans="1:4" x14ac:dyDescent="0.2">
      <c r="A51" s="89" t="s">
        <v>36</v>
      </c>
      <c r="B51" s="89"/>
      <c r="C51" s="15">
        <f>SUM(C43:C50)</f>
        <v>0.36800000000000005</v>
      </c>
      <c r="D51" s="17">
        <f>SUM(D43:D50)</f>
        <v>1087.58</v>
      </c>
    </row>
    <row r="54" spans="1:4" x14ac:dyDescent="0.2">
      <c r="A54" s="99" t="s">
        <v>37</v>
      </c>
      <c r="B54" s="99"/>
      <c r="C54" s="99"/>
      <c r="D54" s="99"/>
    </row>
    <row r="56" spans="1:4" x14ac:dyDescent="0.2">
      <c r="A56" s="6" t="s">
        <v>38</v>
      </c>
      <c r="B56" s="98" t="s">
        <v>39</v>
      </c>
      <c r="C56" s="98"/>
      <c r="D56" s="6" t="s">
        <v>3</v>
      </c>
    </row>
    <row r="57" spans="1:4" x14ac:dyDescent="0.2">
      <c r="A57" s="7" t="s">
        <v>4</v>
      </c>
      <c r="B57" s="90" t="s">
        <v>40</v>
      </c>
      <c r="C57" s="90"/>
      <c r="D57" s="13">
        <f>(22*2*4.9)-(D19*0.06)</f>
        <v>133.11140000000003</v>
      </c>
    </row>
    <row r="58" spans="1:4" x14ac:dyDescent="0.2">
      <c r="A58" s="7" t="s">
        <v>6</v>
      </c>
      <c r="B58" s="90" t="s">
        <v>41</v>
      </c>
      <c r="C58" s="90"/>
      <c r="D58" s="13">
        <f>16*22*0.85</f>
        <v>299.2</v>
      </c>
    </row>
    <row r="59" spans="1:4" x14ac:dyDescent="0.2">
      <c r="A59" s="27" t="s">
        <v>8</v>
      </c>
      <c r="B59" s="90" t="s">
        <v>110</v>
      </c>
      <c r="C59" s="90"/>
      <c r="D59" s="13"/>
    </row>
    <row r="60" spans="1:4" x14ac:dyDescent="0.2">
      <c r="A60" s="27" t="s">
        <v>10</v>
      </c>
      <c r="B60" s="90" t="s">
        <v>104</v>
      </c>
      <c r="C60" s="90"/>
      <c r="D60" s="13">
        <v>4.1500000000000004</v>
      </c>
    </row>
    <row r="61" spans="1:4" x14ac:dyDescent="0.2">
      <c r="A61" s="27" t="s">
        <v>12</v>
      </c>
      <c r="B61" s="90" t="s">
        <v>105</v>
      </c>
      <c r="C61" s="90"/>
      <c r="D61" s="13">
        <v>3.5</v>
      </c>
    </row>
    <row r="62" spans="1:4" x14ac:dyDescent="0.2">
      <c r="A62" s="27" t="s">
        <v>31</v>
      </c>
      <c r="B62" s="90" t="s">
        <v>111</v>
      </c>
      <c r="C62" s="90"/>
      <c r="D62" s="13"/>
    </row>
    <row r="63" spans="1:4" x14ac:dyDescent="0.2">
      <c r="A63" s="41" t="s">
        <v>14</v>
      </c>
      <c r="B63" s="90" t="s">
        <v>190</v>
      </c>
      <c r="C63" s="90"/>
      <c r="D63" s="13">
        <v>8.1300000000000008</v>
      </c>
    </row>
    <row r="64" spans="1:4" x14ac:dyDescent="0.2">
      <c r="A64" s="89" t="s">
        <v>16</v>
      </c>
      <c r="B64" s="89"/>
      <c r="C64" s="89"/>
      <c r="D64" s="17">
        <f>SUM(D57:D63)</f>
        <v>448.09140000000002</v>
      </c>
    </row>
    <row r="67" spans="1:4" x14ac:dyDescent="0.2">
      <c r="A67" s="99" t="s">
        <v>42</v>
      </c>
      <c r="B67" s="99"/>
      <c r="C67" s="99"/>
      <c r="D67" s="99"/>
    </row>
    <row r="69" spans="1:4" x14ac:dyDescent="0.2">
      <c r="A69" s="6">
        <v>2</v>
      </c>
      <c r="B69" s="98" t="s">
        <v>43</v>
      </c>
      <c r="C69" s="98"/>
      <c r="D69" s="6" t="s">
        <v>3</v>
      </c>
    </row>
    <row r="70" spans="1:4" x14ac:dyDescent="0.2">
      <c r="A70" s="7" t="s">
        <v>19</v>
      </c>
      <c r="B70" s="90" t="s">
        <v>20</v>
      </c>
      <c r="C70" s="90"/>
      <c r="D70" s="14">
        <f>D37</f>
        <v>480.8</v>
      </c>
    </row>
    <row r="71" spans="1:4" x14ac:dyDescent="0.2">
      <c r="A71" s="7" t="s">
        <v>23</v>
      </c>
      <c r="B71" s="90" t="s">
        <v>24</v>
      </c>
      <c r="C71" s="90"/>
      <c r="D71" s="14">
        <f>D51</f>
        <v>1087.58</v>
      </c>
    </row>
    <row r="72" spans="1:4" x14ac:dyDescent="0.2">
      <c r="A72" s="7" t="s">
        <v>38</v>
      </c>
      <c r="B72" s="90" t="s">
        <v>39</v>
      </c>
      <c r="C72" s="90"/>
      <c r="D72" s="14">
        <f>D64</f>
        <v>448.09140000000002</v>
      </c>
    </row>
    <row r="73" spans="1:4" x14ac:dyDescent="0.2">
      <c r="A73" s="89" t="s">
        <v>16</v>
      </c>
      <c r="B73" s="89"/>
      <c r="C73" s="89"/>
      <c r="D73" s="17">
        <f>SUM(D70:D72)</f>
        <v>2016.4713999999999</v>
      </c>
    </row>
    <row r="74" spans="1:4" x14ac:dyDescent="0.2">
      <c r="A74" s="4"/>
    </row>
    <row r="76" spans="1:4" x14ac:dyDescent="0.2">
      <c r="A76" s="93" t="s">
        <v>44</v>
      </c>
      <c r="B76" s="93"/>
      <c r="C76" s="93"/>
      <c r="D76" s="93"/>
    </row>
    <row r="77" spans="1:4" ht="12.75" customHeight="1" x14ac:dyDescent="0.2"/>
    <row r="78" spans="1:4" x14ac:dyDescent="0.2">
      <c r="A78" s="6">
        <v>3</v>
      </c>
      <c r="B78" s="98" t="s">
        <v>45</v>
      </c>
      <c r="C78" s="98"/>
      <c r="D78" s="6" t="s">
        <v>3</v>
      </c>
    </row>
    <row r="79" spans="1:4" x14ac:dyDescent="0.2">
      <c r="A79" s="7" t="s">
        <v>4</v>
      </c>
      <c r="B79" s="10" t="s">
        <v>46</v>
      </c>
      <c r="C79" s="9">
        <f>TRUNC(((1/12)*5%),4)</f>
        <v>4.1000000000000003E-3</v>
      </c>
      <c r="D79" s="13">
        <f>TRUNC($D$26*C79,2)</f>
        <v>10.14</v>
      </c>
    </row>
    <row r="80" spans="1:4" x14ac:dyDescent="0.2">
      <c r="A80" s="7" t="s">
        <v>6</v>
      </c>
      <c r="B80" s="10" t="s">
        <v>47</v>
      </c>
      <c r="C80" s="9">
        <v>0.08</v>
      </c>
      <c r="D80" s="13">
        <f>TRUNC(D79*C80,2)</f>
        <v>0.81</v>
      </c>
    </row>
    <row r="81" spans="1:4" x14ac:dyDescent="0.2">
      <c r="A81" s="7" t="s">
        <v>8</v>
      </c>
      <c r="B81" s="10" t="s">
        <v>48</v>
      </c>
      <c r="C81" s="9">
        <f>TRUNC(8%*5%*40%,4)</f>
        <v>1.6000000000000001E-3</v>
      </c>
      <c r="D81" s="13">
        <f>TRUNC($D$26*C81,2)</f>
        <v>3.95</v>
      </c>
    </row>
    <row r="82" spans="1:4" x14ac:dyDescent="0.2">
      <c r="A82" s="7" t="s">
        <v>10</v>
      </c>
      <c r="B82" s="10" t="s">
        <v>49</v>
      </c>
      <c r="C82" s="9">
        <f>TRUNC(((7/30)/12)*95%,4)</f>
        <v>1.84E-2</v>
      </c>
      <c r="D82" s="13">
        <f>TRUNC($D$26*C82,2)</f>
        <v>45.53</v>
      </c>
    </row>
    <row r="83" spans="1:4" ht="25.5" x14ac:dyDescent="0.2">
      <c r="A83" s="7" t="s">
        <v>12</v>
      </c>
      <c r="B83" s="10" t="s">
        <v>94</v>
      </c>
      <c r="C83" s="9">
        <f>C51</f>
        <v>0.36800000000000005</v>
      </c>
      <c r="D83" s="13">
        <f>TRUNC(D82*C83,2)</f>
        <v>16.75</v>
      </c>
    </row>
    <row r="84" spans="1:4" x14ac:dyDescent="0.2">
      <c r="A84" s="7" t="s">
        <v>31</v>
      </c>
      <c r="B84" s="10" t="s">
        <v>50</v>
      </c>
      <c r="C84" s="9">
        <f>TRUNC(8%*95%*40%,4)</f>
        <v>3.04E-2</v>
      </c>
      <c r="D84" s="13">
        <f t="shared" ref="D84" si="1">TRUNC($D$26*C84,2)</f>
        <v>75.22</v>
      </c>
    </row>
    <row r="85" spans="1:4" x14ac:dyDescent="0.2">
      <c r="A85" s="85" t="s">
        <v>16</v>
      </c>
      <c r="B85" s="97"/>
      <c r="C85" s="86"/>
      <c r="D85" s="17">
        <f>SUM(D79:D84)</f>
        <v>152.4</v>
      </c>
    </row>
    <row r="88" spans="1:4" x14ac:dyDescent="0.2">
      <c r="A88" s="93" t="s">
        <v>51</v>
      </c>
      <c r="B88" s="93"/>
      <c r="C88" s="93"/>
      <c r="D88" s="93"/>
    </row>
    <row r="91" spans="1:4" x14ac:dyDescent="0.2">
      <c r="A91" s="99" t="s">
        <v>78</v>
      </c>
      <c r="B91" s="99"/>
      <c r="C91" s="99"/>
      <c r="D91" s="99"/>
    </row>
    <row r="92" spans="1:4" x14ac:dyDescent="0.2">
      <c r="A92" s="3"/>
    </row>
    <row r="93" spans="1:4" x14ac:dyDescent="0.2">
      <c r="A93" s="6" t="s">
        <v>52</v>
      </c>
      <c r="B93" s="98" t="s">
        <v>79</v>
      </c>
      <c r="C93" s="98"/>
      <c r="D93" s="6" t="s">
        <v>3</v>
      </c>
    </row>
    <row r="94" spans="1:4" x14ac:dyDescent="0.2">
      <c r="A94" s="7" t="s">
        <v>4</v>
      </c>
      <c r="B94" s="8" t="s">
        <v>80</v>
      </c>
      <c r="C94" s="9">
        <f>TRUNC(((1+1/3)/12)/12,4)</f>
        <v>9.1999999999999998E-3</v>
      </c>
      <c r="D94" s="13">
        <f t="shared" ref="D94:D99" si="2">TRUNC(($D$26+$D$73+$D$85)*C94,2)</f>
        <v>42.72</v>
      </c>
    </row>
    <row r="95" spans="1:4" x14ac:dyDescent="0.2">
      <c r="A95" s="7" t="s">
        <v>6</v>
      </c>
      <c r="B95" s="8" t="s">
        <v>81</v>
      </c>
      <c r="C95" s="9">
        <f>TRUNC(((2/30)/12),4)</f>
        <v>5.4999999999999997E-3</v>
      </c>
      <c r="D95" s="13">
        <f t="shared" si="2"/>
        <v>25.53</v>
      </c>
    </row>
    <row r="96" spans="1:4" x14ac:dyDescent="0.2">
      <c r="A96" s="7" t="s">
        <v>8</v>
      </c>
      <c r="B96" s="8" t="s">
        <v>82</v>
      </c>
      <c r="C96" s="9">
        <f>TRUNC(((5/30)/12)*2%,4)</f>
        <v>2.0000000000000001E-4</v>
      </c>
      <c r="D96" s="13">
        <f t="shared" si="2"/>
        <v>0.92</v>
      </c>
    </row>
    <row r="97" spans="1:4" x14ac:dyDescent="0.2">
      <c r="A97" s="7" t="s">
        <v>10</v>
      </c>
      <c r="B97" s="8" t="s">
        <v>83</v>
      </c>
      <c r="C97" s="9">
        <f>TRUNC(((15/30)/12)*8%,4)</f>
        <v>3.3E-3</v>
      </c>
      <c r="D97" s="13">
        <f t="shared" si="2"/>
        <v>15.32</v>
      </c>
    </row>
    <row r="98" spans="1:4" x14ac:dyDescent="0.2">
      <c r="A98" s="7" t="s">
        <v>12</v>
      </c>
      <c r="B98" s="8" t="s">
        <v>84</v>
      </c>
      <c r="C98" s="9">
        <f>((1+1/3)/12)*3%*(4/12)</f>
        <v>1.1111111111111109E-3</v>
      </c>
      <c r="D98" s="13">
        <f t="shared" si="2"/>
        <v>5.15</v>
      </c>
    </row>
    <row r="99" spans="1:4" x14ac:dyDescent="0.2">
      <c r="A99" s="7" t="s">
        <v>31</v>
      </c>
      <c r="B99" s="8" t="s">
        <v>85</v>
      </c>
      <c r="C99" s="9"/>
      <c r="D99" s="13">
        <f t="shared" si="2"/>
        <v>0</v>
      </c>
    </row>
    <row r="100" spans="1:4" x14ac:dyDescent="0.2">
      <c r="A100" s="89" t="s">
        <v>36</v>
      </c>
      <c r="B100" s="89"/>
      <c r="C100" s="89"/>
      <c r="D100" s="17">
        <f>SUM(D94:D99)</f>
        <v>89.640000000000015</v>
      </c>
    </row>
    <row r="103" spans="1:4" x14ac:dyDescent="0.2">
      <c r="A103" s="99" t="s">
        <v>86</v>
      </c>
      <c r="B103" s="99"/>
      <c r="C103" s="99"/>
      <c r="D103" s="99"/>
    </row>
    <row r="104" spans="1:4" x14ac:dyDescent="0.2">
      <c r="A104" s="3"/>
    </row>
    <row r="105" spans="1:4" x14ac:dyDescent="0.2">
      <c r="A105" s="6" t="s">
        <v>53</v>
      </c>
      <c r="B105" s="98" t="s">
        <v>87</v>
      </c>
      <c r="C105" s="98"/>
      <c r="D105" s="6" t="s">
        <v>3</v>
      </c>
    </row>
    <row r="106" spans="1:4" x14ac:dyDescent="0.2">
      <c r="A106" s="7"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6">
        <v>4</v>
      </c>
      <c r="B112" s="89" t="s">
        <v>55</v>
      </c>
      <c r="C112" s="89"/>
      <c r="D112" s="6" t="s">
        <v>3</v>
      </c>
    </row>
    <row r="113" spans="1:4" x14ac:dyDescent="0.2">
      <c r="A113" s="7" t="s">
        <v>52</v>
      </c>
      <c r="B113" s="90" t="s">
        <v>79</v>
      </c>
      <c r="C113" s="90"/>
      <c r="D113" s="14">
        <f>D100</f>
        <v>89.640000000000015</v>
      </c>
    </row>
    <row r="114" spans="1:4" x14ac:dyDescent="0.2">
      <c r="A114" s="7" t="s">
        <v>53</v>
      </c>
      <c r="B114" s="90" t="s">
        <v>87</v>
      </c>
      <c r="C114" s="90"/>
      <c r="D114" s="14">
        <f>D107</f>
        <v>0</v>
      </c>
    </row>
    <row r="115" spans="1:4" x14ac:dyDescent="0.2">
      <c r="A115" s="89" t="s">
        <v>16</v>
      </c>
      <c r="B115" s="89"/>
      <c r="C115" s="89"/>
      <c r="D115" s="17">
        <f>SUM(D113:D114)</f>
        <v>89.640000000000015</v>
      </c>
    </row>
    <row r="118" spans="1:4" x14ac:dyDescent="0.2">
      <c r="A118" s="93" t="s">
        <v>56</v>
      </c>
      <c r="B118" s="93"/>
      <c r="C118" s="93"/>
      <c r="D118" s="93"/>
    </row>
    <row r="120" spans="1:4" x14ac:dyDescent="0.2">
      <c r="A120" s="6">
        <v>5</v>
      </c>
      <c r="B120" s="96" t="s">
        <v>57</v>
      </c>
      <c r="C120" s="96"/>
      <c r="D120" s="6" t="s">
        <v>3</v>
      </c>
    </row>
    <row r="121" spans="1:4" x14ac:dyDescent="0.2">
      <c r="A121" s="7" t="s">
        <v>4</v>
      </c>
      <c r="B121" s="8" t="s">
        <v>58</v>
      </c>
      <c r="C121" s="8"/>
      <c r="D121" s="13">
        <v>105.95</v>
      </c>
    </row>
    <row r="122" spans="1:4" x14ac:dyDescent="0.2">
      <c r="A122" s="7" t="s">
        <v>6</v>
      </c>
      <c r="B122" s="8" t="s">
        <v>59</v>
      </c>
      <c r="C122" s="8"/>
      <c r="D122" s="13">
        <v>2.39</v>
      </c>
    </row>
    <row r="123" spans="1:4" x14ac:dyDescent="0.2">
      <c r="A123" s="7" t="s">
        <v>8</v>
      </c>
      <c r="B123" s="8" t="s">
        <v>60</v>
      </c>
      <c r="C123" s="8"/>
      <c r="D123" s="13">
        <v>22.25</v>
      </c>
    </row>
    <row r="124" spans="1:4" x14ac:dyDescent="0.2">
      <c r="A124" s="7" t="s">
        <v>10</v>
      </c>
      <c r="B124" s="8" t="s">
        <v>191</v>
      </c>
      <c r="C124" s="8"/>
      <c r="D124" s="13">
        <v>98.94</v>
      </c>
    </row>
    <row r="125" spans="1:4" x14ac:dyDescent="0.2">
      <c r="A125" s="84" t="s">
        <v>12</v>
      </c>
      <c r="B125" s="83" t="s">
        <v>193</v>
      </c>
      <c r="C125" s="83"/>
      <c r="D125" s="13">
        <v>50.64</v>
      </c>
    </row>
    <row r="126" spans="1:4" x14ac:dyDescent="0.2">
      <c r="A126" s="89" t="s">
        <v>36</v>
      </c>
      <c r="B126" s="89"/>
      <c r="C126" s="89"/>
      <c r="D126" s="18">
        <f>SUM(D121:D125)</f>
        <v>280.17</v>
      </c>
    </row>
    <row r="129" spans="1:4" x14ac:dyDescent="0.2">
      <c r="A129" s="93" t="s">
        <v>61</v>
      </c>
      <c r="B129" s="93"/>
      <c r="C129" s="93"/>
      <c r="D129" s="93"/>
    </row>
    <row r="131" spans="1:4" x14ac:dyDescent="0.2">
      <c r="A131" s="6">
        <v>6</v>
      </c>
      <c r="B131" s="11" t="s">
        <v>62</v>
      </c>
      <c r="C131" s="6" t="s">
        <v>25</v>
      </c>
      <c r="D131" s="6" t="s">
        <v>3</v>
      </c>
    </row>
    <row r="132" spans="1:4" x14ac:dyDescent="0.2">
      <c r="A132" s="7" t="s">
        <v>4</v>
      </c>
      <c r="B132" s="8" t="s">
        <v>63</v>
      </c>
      <c r="C132" s="9">
        <v>0.06</v>
      </c>
      <c r="D132" s="14">
        <f>D152*C132</f>
        <v>300.800364</v>
      </c>
    </row>
    <row r="133" spans="1:4" x14ac:dyDescent="0.2">
      <c r="A133" s="7" t="s">
        <v>6</v>
      </c>
      <c r="B133" s="8" t="s">
        <v>64</v>
      </c>
      <c r="C133" s="9">
        <v>6.7900000000000002E-2</v>
      </c>
      <c r="D133" s="13">
        <f>(D152+D132)*C133</f>
        <v>360.8300899756</v>
      </c>
    </row>
    <row r="134" spans="1:4" x14ac:dyDescent="0.2">
      <c r="A134" s="7" t="s">
        <v>8</v>
      </c>
      <c r="B134" s="8" t="s">
        <v>65</v>
      </c>
      <c r="C134" s="12">
        <f>SUM(C135:C140)</f>
        <v>8.6499999999999994E-2</v>
      </c>
      <c r="D134" s="13">
        <f>(D152+D132+D133)*C134/(1-C134)</f>
        <v>537.36715092379779</v>
      </c>
    </row>
    <row r="135" spans="1:4" x14ac:dyDescent="0.2">
      <c r="A135" s="7"/>
      <c r="B135" s="8" t="s">
        <v>66</v>
      </c>
      <c r="C135" s="9"/>
      <c r="D135" s="14">
        <f>$D$154*C135</f>
        <v>0</v>
      </c>
    </row>
    <row r="136" spans="1:4" x14ac:dyDescent="0.2">
      <c r="A136" s="7"/>
      <c r="B136" s="23" t="s">
        <v>96</v>
      </c>
      <c r="C136" s="9">
        <v>6.4999999999999997E-3</v>
      </c>
      <c r="D136" s="14">
        <f t="shared" ref="D136:D137" si="3">$D$154*C136</f>
        <v>40.380190531846083</v>
      </c>
    </row>
    <row r="137" spans="1:4" x14ac:dyDescent="0.2">
      <c r="A137" s="7"/>
      <c r="B137" s="23" t="s">
        <v>97</v>
      </c>
      <c r="C137" s="9">
        <v>0.03</v>
      </c>
      <c r="D137" s="14">
        <f t="shared" si="3"/>
        <v>186.37011014698192</v>
      </c>
    </row>
    <row r="138" spans="1:4" x14ac:dyDescent="0.2">
      <c r="A138" s="7"/>
      <c r="B138" s="8" t="s">
        <v>67</v>
      </c>
      <c r="C138" s="7"/>
      <c r="D138" s="14">
        <f t="shared" ref="D138:D139" si="4">$D$154*C138</f>
        <v>0</v>
      </c>
    </row>
    <row r="139" spans="1:4" x14ac:dyDescent="0.2">
      <c r="A139" s="7"/>
      <c r="B139" s="8" t="s">
        <v>68</v>
      </c>
      <c r="C139" s="9"/>
      <c r="D139" s="14">
        <f t="shared" si="4"/>
        <v>0</v>
      </c>
    </row>
    <row r="140" spans="1:4" x14ac:dyDescent="0.2">
      <c r="A140" s="7"/>
      <c r="B140" s="23" t="s">
        <v>98</v>
      </c>
      <c r="C140" s="9">
        <v>0.05</v>
      </c>
      <c r="D140" s="14">
        <f t="shared" ref="D140" si="5">$D$154*C140</f>
        <v>310.6168502449699</v>
      </c>
    </row>
    <row r="141" spans="1:4" ht="13.5" x14ac:dyDescent="0.2">
      <c r="A141" s="85" t="s">
        <v>36</v>
      </c>
      <c r="B141" s="97"/>
      <c r="C141" s="19">
        <f>(1+C133)*(1+C132)/(1-C134)-1</f>
        <v>0.2391614668856048</v>
      </c>
      <c r="D141" s="17">
        <f>SUM(D132:D134)</f>
        <v>1198.9976048993976</v>
      </c>
    </row>
    <row r="144" spans="1:4" x14ac:dyDescent="0.2">
      <c r="A144" s="93" t="s">
        <v>69</v>
      </c>
      <c r="B144" s="93"/>
      <c r="C144" s="93"/>
      <c r="D144" s="93"/>
    </row>
    <row r="146" spans="1:4" x14ac:dyDescent="0.2">
      <c r="A146" s="6"/>
      <c r="B146" s="89" t="s">
        <v>70</v>
      </c>
      <c r="C146" s="89"/>
      <c r="D146" s="6" t="s">
        <v>3</v>
      </c>
    </row>
    <row r="147" spans="1:4" x14ac:dyDescent="0.2">
      <c r="A147" s="6" t="s">
        <v>4</v>
      </c>
      <c r="B147" s="90" t="s">
        <v>1</v>
      </c>
      <c r="C147" s="90"/>
      <c r="D147" s="20">
        <f>D26</f>
        <v>2474.6579999999999</v>
      </c>
    </row>
    <row r="148" spans="1:4" x14ac:dyDescent="0.2">
      <c r="A148" s="6" t="s">
        <v>6</v>
      </c>
      <c r="B148" s="90" t="s">
        <v>17</v>
      </c>
      <c r="C148" s="90"/>
      <c r="D148" s="20">
        <f>D73</f>
        <v>2016.4713999999999</v>
      </c>
    </row>
    <row r="149" spans="1:4" x14ac:dyDescent="0.2">
      <c r="A149" s="6" t="s">
        <v>8</v>
      </c>
      <c r="B149" s="90" t="s">
        <v>44</v>
      </c>
      <c r="C149" s="90"/>
      <c r="D149" s="20">
        <f>D85</f>
        <v>152.4</v>
      </c>
    </row>
    <row r="150" spans="1:4" x14ac:dyDescent="0.2">
      <c r="A150" s="6" t="s">
        <v>10</v>
      </c>
      <c r="B150" s="90" t="s">
        <v>51</v>
      </c>
      <c r="C150" s="90"/>
      <c r="D150" s="20">
        <f>D115</f>
        <v>89.640000000000015</v>
      </c>
    </row>
    <row r="151" spans="1:4" x14ac:dyDescent="0.2">
      <c r="A151" s="6" t="s">
        <v>12</v>
      </c>
      <c r="B151" s="90" t="s">
        <v>56</v>
      </c>
      <c r="C151" s="90"/>
      <c r="D151" s="20">
        <f>D126</f>
        <v>280.17</v>
      </c>
    </row>
    <row r="152" spans="1:4" x14ac:dyDescent="0.2">
      <c r="A152" s="89" t="s">
        <v>95</v>
      </c>
      <c r="B152" s="89"/>
      <c r="C152" s="89"/>
      <c r="D152" s="21">
        <f>SUM(D147:D151)</f>
        <v>5013.3393999999998</v>
      </c>
    </row>
    <row r="153" spans="1:4" x14ac:dyDescent="0.2">
      <c r="A153" s="6" t="s">
        <v>31</v>
      </c>
      <c r="B153" s="90" t="s">
        <v>71</v>
      </c>
      <c r="C153" s="90"/>
      <c r="D153" s="22">
        <f>D141</f>
        <v>1198.9976048993976</v>
      </c>
    </row>
    <row r="154" spans="1:4" x14ac:dyDescent="0.2">
      <c r="A154" s="89" t="s">
        <v>72</v>
      </c>
      <c r="B154" s="89"/>
      <c r="C154" s="89"/>
      <c r="D154" s="21">
        <f>SUM(D152:D153)</f>
        <v>6212.3370048993975</v>
      </c>
    </row>
  </sheetData>
  <mergeCells count="73">
    <mergeCell ref="B151:C151"/>
    <mergeCell ref="A152:C152"/>
    <mergeCell ref="A54:D54"/>
    <mergeCell ref="B56:C56"/>
    <mergeCell ref="B57:C57"/>
    <mergeCell ref="B58:C58"/>
    <mergeCell ref="A67:D67"/>
    <mergeCell ref="B69:C69"/>
    <mergeCell ref="B70:C70"/>
    <mergeCell ref="B71:C71"/>
    <mergeCell ref="B72:C72"/>
    <mergeCell ref="A73:C73"/>
    <mergeCell ref="A76:D76"/>
    <mergeCell ref="B78:C78"/>
    <mergeCell ref="A100:C100"/>
    <mergeCell ref="A103:D103"/>
    <mergeCell ref="A1:D1"/>
    <mergeCell ref="A40:D40"/>
    <mergeCell ref="A51:B51"/>
    <mergeCell ref="A31:D31"/>
    <mergeCell ref="B33:C33"/>
    <mergeCell ref="B22:C22"/>
    <mergeCell ref="B23:C23"/>
    <mergeCell ref="B25:C25"/>
    <mergeCell ref="B24:C24"/>
    <mergeCell ref="A26:C26"/>
    <mergeCell ref="A8:D8"/>
    <mergeCell ref="B18:C18"/>
    <mergeCell ref="B19:C19"/>
    <mergeCell ref="B20:C20"/>
    <mergeCell ref="A3:D3"/>
    <mergeCell ref="A5:B5"/>
    <mergeCell ref="A91:D91"/>
    <mergeCell ref="B93:C93"/>
    <mergeCell ref="A64:C64"/>
    <mergeCell ref="A88:D88"/>
    <mergeCell ref="A85:C85"/>
    <mergeCell ref="B60:C60"/>
    <mergeCell ref="B61:C61"/>
    <mergeCell ref="B59:C59"/>
    <mergeCell ref="B62:C62"/>
    <mergeCell ref="B63:C63"/>
    <mergeCell ref="B105:C105"/>
    <mergeCell ref="A107:C107"/>
    <mergeCell ref="A110:D110"/>
    <mergeCell ref="B112:C112"/>
    <mergeCell ref="B113:C113"/>
    <mergeCell ref="B153:C153"/>
    <mergeCell ref="A154:C154"/>
    <mergeCell ref="A129:D129"/>
    <mergeCell ref="B106:C106"/>
    <mergeCell ref="B114:C114"/>
    <mergeCell ref="A115:C115"/>
    <mergeCell ref="A118:D118"/>
    <mergeCell ref="B120:C120"/>
    <mergeCell ref="A126:C126"/>
    <mergeCell ref="A141:B141"/>
    <mergeCell ref="A144:D144"/>
    <mergeCell ref="B146:C146"/>
    <mergeCell ref="B147:C147"/>
    <mergeCell ref="B148:C148"/>
    <mergeCell ref="B149:C149"/>
    <mergeCell ref="B150:C150"/>
    <mergeCell ref="A6:B6"/>
    <mergeCell ref="C11:D11"/>
    <mergeCell ref="A37:B37"/>
    <mergeCell ref="B21:C21"/>
    <mergeCell ref="C10:D10"/>
    <mergeCell ref="C12:D12"/>
    <mergeCell ref="C13:D13"/>
    <mergeCell ref="C14:D14"/>
    <mergeCell ref="A16:D16"/>
    <mergeCell ref="A29:D29"/>
  </mergeCells>
  <pageMargins left="0.511811024" right="0.511811024" top="0.78740157499999996" bottom="0.78740157499999996" header="0.31496062000000002" footer="0.31496062000000002"/>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abSelected="1" topLeftCell="A121" zoomScale="115" zoomScaleNormal="115" workbookViewId="0">
      <selection activeCell="D106" sqref="D106"/>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116</v>
      </c>
      <c r="B6" s="86"/>
      <c r="C6" s="35" t="s">
        <v>100</v>
      </c>
      <c r="D6" s="35">
        <v>2</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row>
    <row r="23" spans="1:4" x14ac:dyDescent="0.2">
      <c r="A23" s="34" t="s">
        <v>12</v>
      </c>
      <c r="B23" s="90" t="s">
        <v>13</v>
      </c>
      <c r="C23" s="90"/>
      <c r="D23" s="13"/>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148.87</v>
      </c>
    </row>
    <row r="35" spans="1:4" x14ac:dyDescent="0.2">
      <c r="A35" s="34" t="s">
        <v>6</v>
      </c>
      <c r="B35" s="31" t="s">
        <v>117</v>
      </c>
      <c r="C35" s="12">
        <f>TRUNC(((1)/12),4)</f>
        <v>8.3299999999999999E-2</v>
      </c>
      <c r="D35" s="13">
        <f>TRUNC($D$26*C35,2)</f>
        <v>148.87</v>
      </c>
    </row>
    <row r="36" spans="1:4" x14ac:dyDescent="0.2">
      <c r="A36" s="34" t="s">
        <v>8</v>
      </c>
      <c r="B36" s="31"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428.68</v>
      </c>
    </row>
    <row r="44" spans="1:4" x14ac:dyDescent="0.2">
      <c r="A44" s="34" t="s">
        <v>6</v>
      </c>
      <c r="B44" s="31" t="s">
        <v>27</v>
      </c>
      <c r="C44" s="9">
        <v>2.5000000000000001E-2</v>
      </c>
      <c r="D44" s="13">
        <f t="shared" ref="D44:D50" si="0">TRUNC(($D$26+$D$37)*C44,2)</f>
        <v>53.58</v>
      </c>
    </row>
    <row r="45" spans="1:4" x14ac:dyDescent="0.2">
      <c r="A45" s="34" t="s">
        <v>8</v>
      </c>
      <c r="B45" s="31" t="s">
        <v>28</v>
      </c>
      <c r="C45" s="16">
        <v>0.03</v>
      </c>
      <c r="D45" s="13">
        <f t="shared" si="0"/>
        <v>64.3</v>
      </c>
    </row>
    <row r="46" spans="1:4" x14ac:dyDescent="0.2">
      <c r="A46" s="34" t="s">
        <v>10</v>
      </c>
      <c r="B46" s="31" t="s">
        <v>29</v>
      </c>
      <c r="C46" s="9">
        <v>1.4999999999999999E-2</v>
      </c>
      <c r="D46" s="13">
        <f t="shared" si="0"/>
        <v>32.15</v>
      </c>
    </row>
    <row r="47" spans="1:4" x14ac:dyDescent="0.2">
      <c r="A47" s="34" t="s">
        <v>12</v>
      </c>
      <c r="B47" s="31" t="s">
        <v>30</v>
      </c>
      <c r="C47" s="9">
        <v>0.01</v>
      </c>
      <c r="D47" s="13">
        <f t="shared" si="0"/>
        <v>21.43</v>
      </c>
    </row>
    <row r="48" spans="1:4" x14ac:dyDescent="0.2">
      <c r="A48" s="34" t="s">
        <v>31</v>
      </c>
      <c r="B48" s="31" t="s">
        <v>32</v>
      </c>
      <c r="C48" s="9">
        <v>6.0000000000000001E-3</v>
      </c>
      <c r="D48" s="13">
        <f t="shared" si="0"/>
        <v>12.86</v>
      </c>
    </row>
    <row r="49" spans="1:4" x14ac:dyDescent="0.2">
      <c r="A49" s="34" t="s">
        <v>14</v>
      </c>
      <c r="B49" s="31" t="s">
        <v>33</v>
      </c>
      <c r="C49" s="9">
        <v>2E-3</v>
      </c>
      <c r="D49" s="13">
        <f t="shared" si="0"/>
        <v>4.28</v>
      </c>
    </row>
    <row r="50" spans="1:4" x14ac:dyDescent="0.2">
      <c r="A50" s="34" t="s">
        <v>34</v>
      </c>
      <c r="B50" s="31"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(15*2*3.92)-(D19*0.06)</f>
        <v>35.111400000000003</v>
      </c>
    </row>
    <row r="58" spans="1:4" x14ac:dyDescent="0.2">
      <c r="A58" s="34" t="s">
        <v>6</v>
      </c>
      <c r="B58" s="90" t="s">
        <v>41</v>
      </c>
      <c r="C58" s="90"/>
      <c r="D58" s="13">
        <f>16*15*0.85</f>
        <v>204</v>
      </c>
    </row>
    <row r="59" spans="1:4" x14ac:dyDescent="0.2">
      <c r="A59" s="34" t="s">
        <v>8</v>
      </c>
      <c r="B59" s="90" t="s">
        <v>110</v>
      </c>
      <c r="C59" s="90"/>
      <c r="D59" s="13"/>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f>180/24</f>
        <v>7.5</v>
      </c>
    </row>
    <row r="63" spans="1:4" x14ac:dyDescent="0.2">
      <c r="A63" s="41" t="s">
        <v>14</v>
      </c>
      <c r="B63" s="90" t="s">
        <v>190</v>
      </c>
      <c r="C63" s="90"/>
      <c r="D63" s="13">
        <v>12.19</v>
      </c>
    </row>
    <row r="64" spans="1:4" x14ac:dyDescent="0.2">
      <c r="A64" s="89" t="s">
        <v>16</v>
      </c>
      <c r="B64" s="89"/>
      <c r="C64" s="89"/>
      <c r="D64" s="17">
        <f>SUM(D57:D63)</f>
        <v>266.45140000000004</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356.16</v>
      </c>
    </row>
    <row r="71" spans="1:4" x14ac:dyDescent="0.2">
      <c r="A71" s="34" t="s">
        <v>23</v>
      </c>
      <c r="B71" s="90" t="s">
        <v>24</v>
      </c>
      <c r="C71" s="90"/>
      <c r="D71" s="14">
        <f>D51</f>
        <v>788.74999999999989</v>
      </c>
    </row>
    <row r="72" spans="1:4" x14ac:dyDescent="0.2">
      <c r="A72" s="34" t="s">
        <v>38</v>
      </c>
      <c r="B72" s="90" t="s">
        <v>39</v>
      </c>
      <c r="C72" s="90"/>
      <c r="D72" s="14">
        <f>D64</f>
        <v>266.45140000000004</v>
      </c>
    </row>
    <row r="73" spans="1:4" x14ac:dyDescent="0.2">
      <c r="A73" s="89" t="s">
        <v>16</v>
      </c>
      <c r="B73" s="89"/>
      <c r="C73" s="89"/>
      <c r="D73" s="17">
        <f>SUM(D70:D72)</f>
        <v>1411.3613999999998</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7.32</v>
      </c>
    </row>
    <row r="80" spans="1:4" x14ac:dyDescent="0.2">
      <c r="A80" s="34" t="s">
        <v>6</v>
      </c>
      <c r="B80" s="10" t="s">
        <v>47</v>
      </c>
      <c r="C80" s="9">
        <v>0.08</v>
      </c>
      <c r="D80" s="13">
        <f>TRUNC(D79*C80,2)</f>
        <v>0.57999999999999996</v>
      </c>
    </row>
    <row r="81" spans="1:4" x14ac:dyDescent="0.2">
      <c r="A81" s="34" t="s">
        <v>8</v>
      </c>
      <c r="B81" s="10" t="s">
        <v>48</v>
      </c>
      <c r="C81" s="9">
        <f>TRUNC(8%*5%*40%,4)</f>
        <v>1.6000000000000001E-3</v>
      </c>
      <c r="D81" s="13">
        <f>TRUNC($D$26*C81,2)</f>
        <v>2.85</v>
      </c>
    </row>
    <row r="82" spans="1:4" x14ac:dyDescent="0.2">
      <c r="A82" s="34" t="s">
        <v>10</v>
      </c>
      <c r="B82" s="10" t="s">
        <v>49</v>
      </c>
      <c r="C82" s="9">
        <f>TRUNC(((7/30)/12)*95%,4)</f>
        <v>1.84E-2</v>
      </c>
      <c r="D82" s="13">
        <f>TRUNC($D$26*C82,2)</f>
        <v>32.880000000000003</v>
      </c>
    </row>
    <row r="83" spans="1:4" ht="25.5" x14ac:dyDescent="0.2">
      <c r="A83" s="34" t="s">
        <v>12</v>
      </c>
      <c r="B83" s="10" t="s">
        <v>94</v>
      </c>
      <c r="C83" s="9">
        <f>C51</f>
        <v>0.36800000000000005</v>
      </c>
      <c r="D83" s="13">
        <f>TRUNC(D82*C83,2)</f>
        <v>12.09</v>
      </c>
    </row>
    <row r="84" spans="1:4" x14ac:dyDescent="0.2">
      <c r="A84" s="34"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f>
        <v>9.1999999999999998E-3</v>
      </c>
      <c r="D94" s="13">
        <f t="shared" ref="D94:D99" si="2">TRUNC(($D$26+$D$73+$D$85)*C94,2)</f>
        <v>30.43</v>
      </c>
    </row>
    <row r="95" spans="1:4" x14ac:dyDescent="0.2">
      <c r="A95" s="34" t="s">
        <v>6</v>
      </c>
      <c r="B95" s="31" t="s">
        <v>81</v>
      </c>
      <c r="C95" s="9">
        <f>TRUNC(((2/30)/12),4)</f>
        <v>5.4999999999999997E-3</v>
      </c>
      <c r="D95" s="13">
        <f t="shared" si="2"/>
        <v>18.190000000000001</v>
      </c>
    </row>
    <row r="96" spans="1:4" x14ac:dyDescent="0.2">
      <c r="A96" s="34" t="s">
        <v>8</v>
      </c>
      <c r="B96" s="31" t="s">
        <v>82</v>
      </c>
      <c r="C96" s="9">
        <f>TRUNC(((5/30)/12)*2%,4)</f>
        <v>2.0000000000000001E-4</v>
      </c>
      <c r="D96" s="13">
        <f t="shared" si="2"/>
        <v>0.66</v>
      </c>
    </row>
    <row r="97" spans="1:4" x14ac:dyDescent="0.2">
      <c r="A97" s="34" t="s">
        <v>10</v>
      </c>
      <c r="B97" s="31" t="s">
        <v>83</v>
      </c>
      <c r="C97" s="9">
        <f>TRUNC(((15/30)/12)*8%,4)</f>
        <v>3.3E-3</v>
      </c>
      <c r="D97" s="13">
        <f t="shared" si="2"/>
        <v>10.91</v>
      </c>
    </row>
    <row r="98" spans="1:4" x14ac:dyDescent="0.2">
      <c r="A98" s="34" t="s">
        <v>12</v>
      </c>
      <c r="B98" s="31" t="s">
        <v>84</v>
      </c>
      <c r="C98" s="9">
        <f>((1+1/3)/12)*3%*(4/12)</f>
        <v>1.1111111111111109E-3</v>
      </c>
      <c r="D98" s="13">
        <f t="shared" si="2"/>
        <v>3.67</v>
      </c>
    </row>
    <row r="99" spans="1:4" x14ac:dyDescent="0.2">
      <c r="A99" s="34" t="s">
        <v>31</v>
      </c>
      <c r="B99" s="31" t="s">
        <v>85</v>
      </c>
      <c r="C99" s="9"/>
      <c r="D99" s="13">
        <f t="shared" si="2"/>
        <v>0</v>
      </c>
    </row>
    <row r="100" spans="1:4" x14ac:dyDescent="0.2">
      <c r="A100" s="89" t="s">
        <v>36</v>
      </c>
      <c r="B100" s="89"/>
      <c r="C100" s="89"/>
      <c r="D100" s="17">
        <f>SUM(D94:D99)</f>
        <v>63.86</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63.86</v>
      </c>
    </row>
    <row r="114" spans="1:4" x14ac:dyDescent="0.2">
      <c r="A114" s="34" t="s">
        <v>53</v>
      </c>
      <c r="B114" s="90" t="s">
        <v>87</v>
      </c>
      <c r="C114" s="90"/>
      <c r="D114" s="14">
        <f>D107</f>
        <v>0</v>
      </c>
    </row>
    <row r="115" spans="1:4" x14ac:dyDescent="0.2">
      <c r="A115" s="89" t="s">
        <v>16</v>
      </c>
      <c r="B115" s="89"/>
      <c r="C115" s="89"/>
      <c r="D115" s="17">
        <f>SUM(D113:D114)</f>
        <v>63.86</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221.92226399999996</v>
      </c>
    </row>
    <row r="133" spans="1:4" x14ac:dyDescent="0.2">
      <c r="A133" s="34" t="s">
        <v>6</v>
      </c>
      <c r="B133" s="31" t="s">
        <v>64</v>
      </c>
      <c r="C133" s="9">
        <v>6.7900000000000002E-2</v>
      </c>
      <c r="D133" s="13">
        <f>(D152+D132)*C133</f>
        <v>266.21055048559998</v>
      </c>
    </row>
    <row r="134" spans="1:4" x14ac:dyDescent="0.2">
      <c r="A134" s="34" t="s">
        <v>8</v>
      </c>
      <c r="B134" s="31" t="s">
        <v>65</v>
      </c>
      <c r="C134" s="12">
        <f>SUM(C135:C140)</f>
        <v>8.6499999999999994E-2</v>
      </c>
      <c r="D134" s="13">
        <f>(D152+D132+D133)*C134/(1-C134)</f>
        <v>396.4547553946407</v>
      </c>
    </row>
    <row r="135" spans="1:4" x14ac:dyDescent="0.2">
      <c r="A135" s="34"/>
      <c r="B135" s="31" t="s">
        <v>66</v>
      </c>
      <c r="C135" s="9"/>
      <c r="D135" s="14">
        <f>$D$154*C135</f>
        <v>0</v>
      </c>
    </row>
    <row r="136" spans="1:4" x14ac:dyDescent="0.2">
      <c r="A136" s="34"/>
      <c r="B136" s="31" t="s">
        <v>96</v>
      </c>
      <c r="C136" s="9">
        <v>6.4999999999999997E-3</v>
      </c>
      <c r="D136" s="14">
        <f t="shared" ref="D136:D140" si="3">$D$154*C136</f>
        <v>29.791397804221557</v>
      </c>
    </row>
    <row r="137" spans="1:4" x14ac:dyDescent="0.2">
      <c r="A137" s="34"/>
      <c r="B137" s="31" t="s">
        <v>97</v>
      </c>
      <c r="C137" s="9">
        <v>0.03</v>
      </c>
      <c r="D137" s="14">
        <f t="shared" si="3"/>
        <v>137.49875909640718</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229.16459849401201</v>
      </c>
    </row>
    <row r="141" spans="1:4" ht="13.5" x14ac:dyDescent="0.2">
      <c r="A141" s="85" t="s">
        <v>36</v>
      </c>
      <c r="B141" s="97"/>
      <c r="C141" s="19">
        <f>(1+C133)*(1+C132)/(1-C134)-1</f>
        <v>0.2391614668856048</v>
      </c>
      <c r="D141" s="17">
        <f>SUM(D132:D134)</f>
        <v>884.58756988024061</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1787.2529999999999</v>
      </c>
    </row>
    <row r="148" spans="1:4" x14ac:dyDescent="0.2">
      <c r="A148" s="32" t="s">
        <v>6</v>
      </c>
      <c r="B148" s="90" t="s">
        <v>17</v>
      </c>
      <c r="C148" s="90"/>
      <c r="D148" s="20">
        <f>D73</f>
        <v>1411.3613999999998</v>
      </c>
    </row>
    <row r="149" spans="1:4" x14ac:dyDescent="0.2">
      <c r="A149" s="32" t="s">
        <v>8</v>
      </c>
      <c r="B149" s="90" t="s">
        <v>44</v>
      </c>
      <c r="C149" s="90"/>
      <c r="D149" s="20">
        <f>D85</f>
        <v>110.05</v>
      </c>
    </row>
    <row r="150" spans="1:4" x14ac:dyDescent="0.2">
      <c r="A150" s="32" t="s">
        <v>10</v>
      </c>
      <c r="B150" s="90" t="s">
        <v>51</v>
      </c>
      <c r="C150" s="90"/>
      <c r="D150" s="20">
        <f>D115</f>
        <v>63.86</v>
      </c>
    </row>
    <row r="151" spans="1:4" x14ac:dyDescent="0.2">
      <c r="A151" s="32" t="s">
        <v>12</v>
      </c>
      <c r="B151" s="90" t="s">
        <v>56</v>
      </c>
      <c r="C151" s="90"/>
      <c r="D151" s="20">
        <f>D126</f>
        <v>326.17999999999995</v>
      </c>
    </row>
    <row r="152" spans="1:4" x14ac:dyDescent="0.2">
      <c r="A152" s="89" t="s">
        <v>95</v>
      </c>
      <c r="B152" s="89"/>
      <c r="C152" s="89"/>
      <c r="D152" s="21">
        <f>SUM(D147:D151)</f>
        <v>3698.7043999999996</v>
      </c>
    </row>
    <row r="153" spans="1:4" x14ac:dyDescent="0.2">
      <c r="A153" s="32" t="s">
        <v>31</v>
      </c>
      <c r="B153" s="90" t="s">
        <v>71</v>
      </c>
      <c r="C153" s="90"/>
      <c r="D153" s="22">
        <f>D141</f>
        <v>884.58756988024061</v>
      </c>
    </row>
    <row r="154" spans="1:4" x14ac:dyDescent="0.2">
      <c r="A154" s="89" t="s">
        <v>72</v>
      </c>
      <c r="B154" s="89"/>
      <c r="C154" s="89"/>
      <c r="D154" s="21">
        <f>SUM(D152:D153)</f>
        <v>4583.2919698802398</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46" zoomScale="115" zoomScaleNormal="115" workbookViewId="0">
      <selection activeCell="D63" sqref="D63"/>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121</v>
      </c>
      <c r="B6" s="86"/>
      <c r="C6" s="35" t="s">
        <v>100</v>
      </c>
      <c r="D6" s="32" t="s">
        <v>120</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row>
    <row r="23" spans="1:4" x14ac:dyDescent="0.2">
      <c r="A23" s="34" t="s">
        <v>12</v>
      </c>
      <c r="B23" s="90" t="s">
        <v>13</v>
      </c>
      <c r="C23" s="90"/>
      <c r="D23" s="13"/>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148.87</v>
      </c>
    </row>
    <row r="35" spans="1:4" x14ac:dyDescent="0.2">
      <c r="A35" s="34" t="s">
        <v>6</v>
      </c>
      <c r="B35" s="31" t="s">
        <v>117</v>
      </c>
      <c r="C35" s="12">
        <f>TRUNC(((1)/12),4)</f>
        <v>8.3299999999999999E-2</v>
      </c>
      <c r="D35" s="13">
        <f>TRUNC($D$26*C35,2)</f>
        <v>148.87</v>
      </c>
    </row>
    <row r="36" spans="1:4" x14ac:dyDescent="0.2">
      <c r="A36" s="34" t="s">
        <v>8</v>
      </c>
      <c r="B36" s="31"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428.68</v>
      </c>
    </row>
    <row r="44" spans="1:4" x14ac:dyDescent="0.2">
      <c r="A44" s="34" t="s">
        <v>6</v>
      </c>
      <c r="B44" s="31" t="s">
        <v>27</v>
      </c>
      <c r="C44" s="9">
        <v>2.5000000000000001E-2</v>
      </c>
      <c r="D44" s="13">
        <f t="shared" ref="D44:D50" si="0">TRUNC(($D$26+$D$37)*C44,2)</f>
        <v>53.58</v>
      </c>
    </row>
    <row r="45" spans="1:4" x14ac:dyDescent="0.2">
      <c r="A45" s="34" t="s">
        <v>8</v>
      </c>
      <c r="B45" s="31" t="s">
        <v>28</v>
      </c>
      <c r="C45" s="16">
        <v>0.03</v>
      </c>
      <c r="D45" s="13">
        <f t="shared" si="0"/>
        <v>64.3</v>
      </c>
    </row>
    <row r="46" spans="1:4" x14ac:dyDescent="0.2">
      <c r="A46" s="34" t="s">
        <v>10</v>
      </c>
      <c r="B46" s="31" t="s">
        <v>29</v>
      </c>
      <c r="C46" s="9">
        <v>1.4999999999999999E-2</v>
      </c>
      <c r="D46" s="13">
        <f t="shared" si="0"/>
        <v>32.15</v>
      </c>
    </row>
    <row r="47" spans="1:4" x14ac:dyDescent="0.2">
      <c r="A47" s="34" t="s">
        <v>12</v>
      </c>
      <c r="B47" s="31" t="s">
        <v>30</v>
      </c>
      <c r="C47" s="9">
        <v>0.01</v>
      </c>
      <c r="D47" s="13">
        <f t="shared" si="0"/>
        <v>21.43</v>
      </c>
    </row>
    <row r="48" spans="1:4" x14ac:dyDescent="0.2">
      <c r="A48" s="34" t="s">
        <v>31</v>
      </c>
      <c r="B48" s="31" t="s">
        <v>32</v>
      </c>
      <c r="C48" s="9">
        <v>6.0000000000000001E-3</v>
      </c>
      <c r="D48" s="13">
        <f t="shared" si="0"/>
        <v>12.86</v>
      </c>
    </row>
    <row r="49" spans="1:4" x14ac:dyDescent="0.2">
      <c r="A49" s="34" t="s">
        <v>14</v>
      </c>
      <c r="B49" s="31" t="s">
        <v>33</v>
      </c>
      <c r="C49" s="9">
        <v>2E-3</v>
      </c>
      <c r="D49" s="13">
        <f t="shared" si="0"/>
        <v>4.28</v>
      </c>
    </row>
    <row r="50" spans="1:4" x14ac:dyDescent="0.2">
      <c r="A50" s="34" t="s">
        <v>34</v>
      </c>
      <c r="B50" s="31"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(22*2*4.9)-(D19*0.06)</f>
        <v>133.11140000000003</v>
      </c>
    </row>
    <row r="58" spans="1:4" x14ac:dyDescent="0.2">
      <c r="A58" s="34" t="s">
        <v>6</v>
      </c>
      <c r="B58" s="90" t="s">
        <v>41</v>
      </c>
      <c r="C58" s="90"/>
      <c r="D58" s="13">
        <f>16*22*0.85</f>
        <v>299.2</v>
      </c>
    </row>
    <row r="59" spans="1:4" x14ac:dyDescent="0.2">
      <c r="A59" s="34" t="s">
        <v>8</v>
      </c>
      <c r="B59" s="90" t="s">
        <v>110</v>
      </c>
      <c r="C59" s="90"/>
      <c r="D59" s="13"/>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row>
    <row r="64" spans="1:4" x14ac:dyDescent="0.2">
      <c r="A64" s="89" t="s">
        <v>16</v>
      </c>
      <c r="B64" s="89"/>
      <c r="C64" s="89"/>
      <c r="D64" s="17">
        <f>SUM(D57:D63)</f>
        <v>439.96140000000003</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356.16</v>
      </c>
    </row>
    <row r="71" spans="1:4" x14ac:dyDescent="0.2">
      <c r="A71" s="34" t="s">
        <v>23</v>
      </c>
      <c r="B71" s="90" t="s">
        <v>24</v>
      </c>
      <c r="C71" s="90"/>
      <c r="D71" s="14">
        <f>D51</f>
        <v>788.74999999999989</v>
      </c>
    </row>
    <row r="72" spans="1:4" x14ac:dyDescent="0.2">
      <c r="A72" s="34" t="s">
        <v>38</v>
      </c>
      <c r="B72" s="90" t="s">
        <v>39</v>
      </c>
      <c r="C72" s="90"/>
      <c r="D72" s="14">
        <f>D64</f>
        <v>439.96140000000003</v>
      </c>
    </row>
    <row r="73" spans="1:4" x14ac:dyDescent="0.2">
      <c r="A73" s="89" t="s">
        <v>16</v>
      </c>
      <c r="B73" s="89"/>
      <c r="C73" s="89"/>
      <c r="D73" s="17">
        <f>SUM(D70:D72)</f>
        <v>1584.8714</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7.32</v>
      </c>
    </row>
    <row r="80" spans="1:4" x14ac:dyDescent="0.2">
      <c r="A80" s="34" t="s">
        <v>6</v>
      </c>
      <c r="B80" s="10" t="s">
        <v>47</v>
      </c>
      <c r="C80" s="9">
        <v>0.08</v>
      </c>
      <c r="D80" s="13">
        <f>TRUNC(D79*C80,2)</f>
        <v>0.57999999999999996</v>
      </c>
    </row>
    <row r="81" spans="1:4" x14ac:dyDescent="0.2">
      <c r="A81" s="34" t="s">
        <v>8</v>
      </c>
      <c r="B81" s="10" t="s">
        <v>48</v>
      </c>
      <c r="C81" s="9">
        <f>TRUNC(8%*5%*40%,4)</f>
        <v>1.6000000000000001E-3</v>
      </c>
      <c r="D81" s="13">
        <f>TRUNC($D$26*C81,2)</f>
        <v>2.85</v>
      </c>
    </row>
    <row r="82" spans="1:4" x14ac:dyDescent="0.2">
      <c r="A82" s="34" t="s">
        <v>10</v>
      </c>
      <c r="B82" s="10" t="s">
        <v>49</v>
      </c>
      <c r="C82" s="9">
        <f>TRUNC(((7/30)/12)*95%,4)</f>
        <v>1.84E-2</v>
      </c>
      <c r="D82" s="13">
        <f>TRUNC($D$26*C82,2)</f>
        <v>32.880000000000003</v>
      </c>
    </row>
    <row r="83" spans="1:4" ht="25.5" x14ac:dyDescent="0.2">
      <c r="A83" s="34" t="s">
        <v>12</v>
      </c>
      <c r="B83" s="10" t="s">
        <v>94</v>
      </c>
      <c r="C83" s="9">
        <f>C51</f>
        <v>0.36800000000000005</v>
      </c>
      <c r="D83" s="13">
        <f>TRUNC(D82*C83,2)</f>
        <v>12.09</v>
      </c>
    </row>
    <row r="84" spans="1:4" x14ac:dyDescent="0.2">
      <c r="A84" s="34"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TRUNC(((1+1/3)/12)/12,4)*0</f>
        <v>0</v>
      </c>
      <c r="D94" s="13">
        <f t="shared" ref="D94:D99" si="2">TRUNC(($D$26+$D$73+$D$85)*C94,2)</f>
        <v>0</v>
      </c>
    </row>
    <row r="95" spans="1:4" x14ac:dyDescent="0.2">
      <c r="A95" s="34" t="s">
        <v>6</v>
      </c>
      <c r="B95" s="31" t="s">
        <v>81</v>
      </c>
      <c r="C95" s="9">
        <f>TRUNC(((2/30)/12),4)</f>
        <v>5.4999999999999997E-3</v>
      </c>
      <c r="D95" s="13">
        <f t="shared" si="2"/>
        <v>19.149999999999999</v>
      </c>
    </row>
    <row r="96" spans="1:4" x14ac:dyDescent="0.2">
      <c r="A96" s="34" t="s">
        <v>8</v>
      </c>
      <c r="B96" s="31" t="s">
        <v>82</v>
      </c>
      <c r="C96" s="9">
        <f>TRUNC(((5/30)/12)*2%,4)*0</f>
        <v>0</v>
      </c>
      <c r="D96" s="13">
        <f t="shared" si="2"/>
        <v>0</v>
      </c>
    </row>
    <row r="97" spans="1:4" x14ac:dyDescent="0.2">
      <c r="A97" s="34" t="s">
        <v>10</v>
      </c>
      <c r="B97" s="31" t="s">
        <v>83</v>
      </c>
      <c r="C97" s="9">
        <f>TRUNC(((15/30)/12)*8%,4)*0</f>
        <v>0</v>
      </c>
      <c r="D97" s="13">
        <f t="shared" si="2"/>
        <v>0</v>
      </c>
    </row>
    <row r="98" spans="1:4" x14ac:dyDescent="0.2">
      <c r="A98" s="34" t="s">
        <v>12</v>
      </c>
      <c r="B98" s="31" t="s">
        <v>84</v>
      </c>
      <c r="C98" s="9">
        <f>((1+1/3)/12)*3%*(4/12)*0</f>
        <v>0</v>
      </c>
      <c r="D98" s="13">
        <f t="shared" si="2"/>
        <v>0</v>
      </c>
    </row>
    <row r="99" spans="1:4" x14ac:dyDescent="0.2">
      <c r="A99" s="34" t="s">
        <v>31</v>
      </c>
      <c r="B99" s="31" t="s">
        <v>85</v>
      </c>
      <c r="C99" s="9"/>
      <c r="D99" s="13">
        <f t="shared" si="2"/>
        <v>0</v>
      </c>
    </row>
    <row r="100" spans="1:4" x14ac:dyDescent="0.2">
      <c r="A100" s="89" t="s">
        <v>36</v>
      </c>
      <c r="B100" s="89"/>
      <c r="C100" s="89"/>
      <c r="D100" s="17">
        <f>SUM(D94:D99)</f>
        <v>19.149999999999999</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19.149999999999999</v>
      </c>
    </row>
    <row r="114" spans="1:4" x14ac:dyDescent="0.2">
      <c r="A114" s="34" t="s">
        <v>53</v>
      </c>
      <c r="B114" s="90" t="s">
        <v>87</v>
      </c>
      <c r="C114" s="90"/>
      <c r="D114" s="14">
        <f>D107</f>
        <v>0</v>
      </c>
    </row>
    <row r="115" spans="1:4" x14ac:dyDescent="0.2">
      <c r="A115" s="89" t="s">
        <v>16</v>
      </c>
      <c r="B115" s="89"/>
      <c r="C115" s="89"/>
      <c r="D115" s="17">
        <f>SUM(D113:D114)</f>
        <v>19.149999999999999</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229.65026399999999</v>
      </c>
    </row>
    <row r="133" spans="1:4" x14ac:dyDescent="0.2">
      <c r="A133" s="34" t="s">
        <v>6</v>
      </c>
      <c r="B133" s="31" t="s">
        <v>64</v>
      </c>
      <c r="C133" s="9">
        <v>6.7900000000000002E-2</v>
      </c>
      <c r="D133" s="13">
        <f>(D152+D132)*C133</f>
        <v>275.4808016856</v>
      </c>
    </row>
    <row r="134" spans="1:4" x14ac:dyDescent="0.2">
      <c r="A134" s="34" t="s">
        <v>8</v>
      </c>
      <c r="B134" s="31" t="s">
        <v>65</v>
      </c>
      <c r="C134" s="12">
        <f>SUM(C135:C140)</f>
        <v>8.6499999999999994E-2</v>
      </c>
      <c r="D134" s="13">
        <f>(D152+D132+D133)*C134/(1-C134)</f>
        <v>410.26050112950668</v>
      </c>
    </row>
    <row r="135" spans="1:4" x14ac:dyDescent="0.2">
      <c r="A135" s="34"/>
      <c r="B135" s="31" t="s">
        <v>66</v>
      </c>
      <c r="C135" s="9"/>
      <c r="D135" s="14">
        <f>$D$154*C135</f>
        <v>0</v>
      </c>
    </row>
    <row r="136" spans="1:4" x14ac:dyDescent="0.2">
      <c r="A136" s="34"/>
      <c r="B136" s="31" t="s">
        <v>96</v>
      </c>
      <c r="C136" s="9">
        <v>6.4999999999999997E-3</v>
      </c>
      <c r="D136" s="14">
        <f t="shared" ref="D136:D140" si="3">$D$154*C136</f>
        <v>30.828823784298191</v>
      </c>
    </row>
    <row r="137" spans="1:4" x14ac:dyDescent="0.2">
      <c r="A137" s="34"/>
      <c r="B137" s="31" t="s">
        <v>97</v>
      </c>
      <c r="C137" s="9">
        <v>0.03</v>
      </c>
      <c r="D137" s="14">
        <f t="shared" si="3"/>
        <v>142.2868790044532</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237.14479834075533</v>
      </c>
    </row>
    <row r="141" spans="1:4" ht="13.5" x14ac:dyDescent="0.2">
      <c r="A141" s="85" t="s">
        <v>36</v>
      </c>
      <c r="B141" s="97"/>
      <c r="C141" s="19">
        <f>(1+C133)*(1+C132)/(1-C134)-1</f>
        <v>0.2391614668856048</v>
      </c>
      <c r="D141" s="17">
        <f>SUM(D132:D134)</f>
        <v>915.39156681510667</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1787.2529999999999</v>
      </c>
    </row>
    <row r="148" spans="1:4" x14ac:dyDescent="0.2">
      <c r="A148" s="32" t="s">
        <v>6</v>
      </c>
      <c r="B148" s="90" t="s">
        <v>17</v>
      </c>
      <c r="C148" s="90"/>
      <c r="D148" s="20">
        <f>D73</f>
        <v>1584.8714</v>
      </c>
    </row>
    <row r="149" spans="1:4" x14ac:dyDescent="0.2">
      <c r="A149" s="32" t="s">
        <v>8</v>
      </c>
      <c r="B149" s="90" t="s">
        <v>44</v>
      </c>
      <c r="C149" s="90"/>
      <c r="D149" s="20">
        <f>D85</f>
        <v>110.05</v>
      </c>
    </row>
    <row r="150" spans="1:4" x14ac:dyDescent="0.2">
      <c r="A150" s="32" t="s">
        <v>10</v>
      </c>
      <c r="B150" s="90" t="s">
        <v>51</v>
      </c>
      <c r="C150" s="90"/>
      <c r="D150" s="20">
        <f>D115</f>
        <v>19.149999999999999</v>
      </c>
    </row>
    <row r="151" spans="1:4" x14ac:dyDescent="0.2">
      <c r="A151" s="32" t="s">
        <v>12</v>
      </c>
      <c r="B151" s="90" t="s">
        <v>56</v>
      </c>
      <c r="C151" s="90"/>
      <c r="D151" s="20">
        <f>D126</f>
        <v>326.17999999999995</v>
      </c>
    </row>
    <row r="152" spans="1:4" x14ac:dyDescent="0.2">
      <c r="A152" s="89" t="s">
        <v>95</v>
      </c>
      <c r="B152" s="89"/>
      <c r="C152" s="89"/>
      <c r="D152" s="21">
        <f>SUM(D147:D151)</f>
        <v>3827.5043999999998</v>
      </c>
    </row>
    <row r="153" spans="1:4" x14ac:dyDescent="0.2">
      <c r="A153" s="32" t="s">
        <v>31</v>
      </c>
      <c r="B153" s="90" t="s">
        <v>71</v>
      </c>
      <c r="C153" s="90"/>
      <c r="D153" s="22">
        <f>D141</f>
        <v>915.39156681510667</v>
      </c>
    </row>
    <row r="154" spans="1:4" x14ac:dyDescent="0.2">
      <c r="A154" s="89" t="s">
        <v>72</v>
      </c>
      <c r="B154" s="89"/>
      <c r="C154" s="89"/>
      <c r="D154" s="21">
        <f>SUM(D152:D153)</f>
        <v>4742.8959668151065</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82" zoomScale="115" zoomScaleNormal="115" workbookViewId="0">
      <selection activeCell="D63" sqref="D63"/>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81" t="s">
        <v>91</v>
      </c>
      <c r="D5" s="25" t="s">
        <v>92</v>
      </c>
    </row>
    <row r="6" spans="1:4" ht="25.5" customHeight="1" x14ac:dyDescent="0.2">
      <c r="A6" s="85" t="s">
        <v>192</v>
      </c>
      <c r="B6" s="86"/>
      <c r="C6" s="35" t="s">
        <v>100</v>
      </c>
      <c r="D6" s="80" t="s">
        <v>120</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80">
        <v>1</v>
      </c>
      <c r="B18" s="89" t="s">
        <v>2</v>
      </c>
      <c r="C18" s="89"/>
      <c r="D18" s="80" t="s">
        <v>3</v>
      </c>
    </row>
    <row r="19" spans="1:4" x14ac:dyDescent="0.2">
      <c r="A19" s="81" t="s">
        <v>4</v>
      </c>
      <c r="B19" s="90" t="s">
        <v>5</v>
      </c>
      <c r="C19" s="90"/>
      <c r="D19" s="13">
        <v>1374.81</v>
      </c>
    </row>
    <row r="20" spans="1:4" x14ac:dyDescent="0.2">
      <c r="A20" s="81" t="s">
        <v>6</v>
      </c>
      <c r="B20" s="90" t="s">
        <v>7</v>
      </c>
      <c r="C20" s="90"/>
      <c r="D20" s="13">
        <f>D19*0.3</f>
        <v>412.44299999999998</v>
      </c>
    </row>
    <row r="21" spans="1:4" x14ac:dyDescent="0.2">
      <c r="A21" s="81" t="s">
        <v>8</v>
      </c>
      <c r="B21" s="90" t="s">
        <v>9</v>
      </c>
      <c r="C21" s="90"/>
      <c r="D21" s="13"/>
    </row>
    <row r="22" spans="1:4" x14ac:dyDescent="0.2">
      <c r="A22" s="81" t="s">
        <v>10</v>
      </c>
      <c r="B22" s="90" t="s">
        <v>11</v>
      </c>
      <c r="C22" s="90"/>
      <c r="D22" s="13"/>
    </row>
    <row r="23" spans="1:4" x14ac:dyDescent="0.2">
      <c r="A23" s="81" t="s">
        <v>12</v>
      </c>
      <c r="B23" s="90" t="s">
        <v>13</v>
      </c>
      <c r="C23" s="90"/>
      <c r="D23" s="13"/>
    </row>
    <row r="24" spans="1:4" x14ac:dyDescent="0.2">
      <c r="A24" s="81" t="s">
        <v>31</v>
      </c>
      <c r="B24" s="90" t="s">
        <v>114</v>
      </c>
      <c r="C24" s="90"/>
      <c r="D24" s="13">
        <v>0</v>
      </c>
    </row>
    <row r="25" spans="1:4" x14ac:dyDescent="0.2">
      <c r="A25" s="81"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80" t="s">
        <v>19</v>
      </c>
      <c r="B33" s="89" t="s">
        <v>20</v>
      </c>
      <c r="C33" s="89"/>
      <c r="D33" s="80" t="s">
        <v>3</v>
      </c>
    </row>
    <row r="34" spans="1:4" x14ac:dyDescent="0.2">
      <c r="A34" s="81" t="s">
        <v>4</v>
      </c>
      <c r="B34" s="79" t="s">
        <v>21</v>
      </c>
      <c r="C34" s="12">
        <f>TRUNC(1/12,4)</f>
        <v>8.3299999999999999E-2</v>
      </c>
      <c r="D34" s="13">
        <f>TRUNC($D$26*C34,2)</f>
        <v>148.87</v>
      </c>
    </row>
    <row r="35" spans="1:4" x14ac:dyDescent="0.2">
      <c r="A35" s="81" t="s">
        <v>6</v>
      </c>
      <c r="B35" s="79" t="s">
        <v>117</v>
      </c>
      <c r="C35" s="12">
        <f>TRUNC(((1)/12),4)</f>
        <v>8.3299999999999999E-2</v>
      </c>
      <c r="D35" s="13">
        <f>TRUNC($D$26*C35,2)</f>
        <v>148.87</v>
      </c>
    </row>
    <row r="36" spans="1:4" x14ac:dyDescent="0.2">
      <c r="A36" s="81" t="s">
        <v>8</v>
      </c>
      <c r="B36" s="79"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80" t="s">
        <v>23</v>
      </c>
      <c r="B42" s="80" t="s">
        <v>24</v>
      </c>
      <c r="C42" s="80" t="s">
        <v>25</v>
      </c>
      <c r="D42" s="80" t="s">
        <v>3</v>
      </c>
    </row>
    <row r="43" spans="1:4" x14ac:dyDescent="0.2">
      <c r="A43" s="81" t="s">
        <v>4</v>
      </c>
      <c r="B43" s="79" t="s">
        <v>26</v>
      </c>
      <c r="C43" s="9">
        <v>0.2</v>
      </c>
      <c r="D43" s="13">
        <f>TRUNC(($D$26+$D$37)*C43,2)</f>
        <v>428.68</v>
      </c>
    </row>
    <row r="44" spans="1:4" x14ac:dyDescent="0.2">
      <c r="A44" s="81" t="s">
        <v>6</v>
      </c>
      <c r="B44" s="79" t="s">
        <v>27</v>
      </c>
      <c r="C44" s="9">
        <v>2.5000000000000001E-2</v>
      </c>
      <c r="D44" s="13">
        <f t="shared" ref="D44:D50" si="0">TRUNC(($D$26+$D$37)*C44,2)</f>
        <v>53.58</v>
      </c>
    </row>
    <row r="45" spans="1:4" x14ac:dyDescent="0.2">
      <c r="A45" s="81" t="s">
        <v>8</v>
      </c>
      <c r="B45" s="79" t="s">
        <v>28</v>
      </c>
      <c r="C45" s="16">
        <v>0.03</v>
      </c>
      <c r="D45" s="13">
        <f t="shared" si="0"/>
        <v>64.3</v>
      </c>
    </row>
    <row r="46" spans="1:4" x14ac:dyDescent="0.2">
      <c r="A46" s="81" t="s">
        <v>10</v>
      </c>
      <c r="B46" s="79" t="s">
        <v>29</v>
      </c>
      <c r="C46" s="9">
        <v>1.4999999999999999E-2</v>
      </c>
      <c r="D46" s="13">
        <f t="shared" si="0"/>
        <v>32.15</v>
      </c>
    </row>
    <row r="47" spans="1:4" x14ac:dyDescent="0.2">
      <c r="A47" s="81" t="s">
        <v>12</v>
      </c>
      <c r="B47" s="79" t="s">
        <v>30</v>
      </c>
      <c r="C47" s="9">
        <v>0.01</v>
      </c>
      <c r="D47" s="13">
        <f t="shared" si="0"/>
        <v>21.43</v>
      </c>
    </row>
    <row r="48" spans="1:4" x14ac:dyDescent="0.2">
      <c r="A48" s="81" t="s">
        <v>31</v>
      </c>
      <c r="B48" s="79" t="s">
        <v>32</v>
      </c>
      <c r="C48" s="9">
        <v>6.0000000000000001E-3</v>
      </c>
      <c r="D48" s="13">
        <f t="shared" si="0"/>
        <v>12.86</v>
      </c>
    </row>
    <row r="49" spans="1:4" x14ac:dyDescent="0.2">
      <c r="A49" s="81" t="s">
        <v>14</v>
      </c>
      <c r="B49" s="79" t="s">
        <v>33</v>
      </c>
      <c r="C49" s="9">
        <v>2E-3</v>
      </c>
      <c r="D49" s="13">
        <f t="shared" si="0"/>
        <v>4.28</v>
      </c>
    </row>
    <row r="50" spans="1:4" x14ac:dyDescent="0.2">
      <c r="A50" s="81" t="s">
        <v>34</v>
      </c>
      <c r="B50" s="79"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80" t="s">
        <v>38</v>
      </c>
      <c r="B56" s="98" t="s">
        <v>39</v>
      </c>
      <c r="C56" s="98"/>
      <c r="D56" s="80" t="s">
        <v>3</v>
      </c>
    </row>
    <row r="57" spans="1:4" x14ac:dyDescent="0.2">
      <c r="A57" s="81" t="s">
        <v>4</v>
      </c>
      <c r="B57" s="90" t="s">
        <v>40</v>
      </c>
      <c r="C57" s="90"/>
      <c r="D57" s="13">
        <f>(22*2*3.92)-(D19*0.06)</f>
        <v>89.991399999999999</v>
      </c>
    </row>
    <row r="58" spans="1:4" x14ac:dyDescent="0.2">
      <c r="A58" s="81" t="s">
        <v>6</v>
      </c>
      <c r="B58" s="90" t="s">
        <v>41</v>
      </c>
      <c r="C58" s="90"/>
      <c r="D58" s="13">
        <f>16*22*0.85</f>
        <v>299.2</v>
      </c>
    </row>
    <row r="59" spans="1:4" x14ac:dyDescent="0.2">
      <c r="A59" s="81" t="s">
        <v>8</v>
      </c>
      <c r="B59" s="90" t="s">
        <v>110</v>
      </c>
      <c r="C59" s="90"/>
      <c r="D59" s="13"/>
    </row>
    <row r="60" spans="1:4" x14ac:dyDescent="0.2">
      <c r="A60" s="81" t="s">
        <v>10</v>
      </c>
      <c r="B60" s="90" t="s">
        <v>104</v>
      </c>
      <c r="C60" s="90"/>
      <c r="D60" s="13">
        <v>4.1500000000000004</v>
      </c>
    </row>
    <row r="61" spans="1:4" x14ac:dyDescent="0.2">
      <c r="A61" s="81" t="s">
        <v>12</v>
      </c>
      <c r="B61" s="90" t="s">
        <v>105</v>
      </c>
      <c r="C61" s="90"/>
      <c r="D61" s="13">
        <v>3.5</v>
      </c>
    </row>
    <row r="62" spans="1:4" x14ac:dyDescent="0.2">
      <c r="A62" s="81" t="s">
        <v>31</v>
      </c>
      <c r="B62" s="90" t="s">
        <v>111</v>
      </c>
      <c r="C62" s="90"/>
      <c r="D62" s="13"/>
    </row>
    <row r="63" spans="1:4" x14ac:dyDescent="0.2">
      <c r="A63" s="81" t="s">
        <v>14</v>
      </c>
      <c r="B63" s="90" t="s">
        <v>190</v>
      </c>
      <c r="C63" s="90"/>
      <c r="D63" s="13"/>
    </row>
    <row r="64" spans="1:4" x14ac:dyDescent="0.2">
      <c r="A64" s="89" t="s">
        <v>16</v>
      </c>
      <c r="B64" s="89"/>
      <c r="C64" s="89"/>
      <c r="D64" s="17">
        <f>SUM(D57:D63)</f>
        <v>396.84139999999996</v>
      </c>
    </row>
    <row r="67" spans="1:4" x14ac:dyDescent="0.2">
      <c r="A67" s="99" t="s">
        <v>42</v>
      </c>
      <c r="B67" s="99"/>
      <c r="C67" s="99"/>
      <c r="D67" s="99"/>
    </row>
    <row r="69" spans="1:4" x14ac:dyDescent="0.2">
      <c r="A69" s="80">
        <v>2</v>
      </c>
      <c r="B69" s="98" t="s">
        <v>43</v>
      </c>
      <c r="C69" s="98"/>
      <c r="D69" s="80" t="s">
        <v>3</v>
      </c>
    </row>
    <row r="70" spans="1:4" x14ac:dyDescent="0.2">
      <c r="A70" s="81" t="s">
        <v>19</v>
      </c>
      <c r="B70" s="90" t="s">
        <v>20</v>
      </c>
      <c r="C70" s="90"/>
      <c r="D70" s="14">
        <f>D37</f>
        <v>356.16</v>
      </c>
    </row>
    <row r="71" spans="1:4" x14ac:dyDescent="0.2">
      <c r="A71" s="81" t="s">
        <v>23</v>
      </c>
      <c r="B71" s="90" t="s">
        <v>24</v>
      </c>
      <c r="C71" s="90"/>
      <c r="D71" s="14">
        <f>D51</f>
        <v>788.74999999999989</v>
      </c>
    </row>
    <row r="72" spans="1:4" x14ac:dyDescent="0.2">
      <c r="A72" s="81" t="s">
        <v>38</v>
      </c>
      <c r="B72" s="90" t="s">
        <v>39</v>
      </c>
      <c r="C72" s="90"/>
      <c r="D72" s="14">
        <f>D64</f>
        <v>396.84139999999996</v>
      </c>
    </row>
    <row r="73" spans="1:4" x14ac:dyDescent="0.2">
      <c r="A73" s="89" t="s">
        <v>16</v>
      </c>
      <c r="B73" s="89"/>
      <c r="C73" s="89"/>
      <c r="D73" s="17">
        <f>SUM(D70:D72)</f>
        <v>1541.7513999999999</v>
      </c>
    </row>
    <row r="74" spans="1:4" x14ac:dyDescent="0.2">
      <c r="A74" s="4"/>
    </row>
    <row r="76" spans="1:4" x14ac:dyDescent="0.2">
      <c r="A76" s="93" t="s">
        <v>44</v>
      </c>
      <c r="B76" s="93"/>
      <c r="C76" s="93"/>
      <c r="D76" s="93"/>
    </row>
    <row r="77" spans="1:4" ht="12.75" customHeight="1" x14ac:dyDescent="0.2"/>
    <row r="78" spans="1:4" x14ac:dyDescent="0.2">
      <c r="A78" s="80">
        <v>3</v>
      </c>
      <c r="B78" s="98" t="s">
        <v>45</v>
      </c>
      <c r="C78" s="98"/>
      <c r="D78" s="80" t="s">
        <v>3</v>
      </c>
    </row>
    <row r="79" spans="1:4" x14ac:dyDescent="0.2">
      <c r="A79" s="81" t="s">
        <v>4</v>
      </c>
      <c r="B79" s="10" t="s">
        <v>46</v>
      </c>
      <c r="C79" s="9">
        <f>TRUNC(((1/12)*5%),4)</f>
        <v>4.1000000000000003E-3</v>
      </c>
      <c r="D79" s="13">
        <f>TRUNC($D$26*C79,2)</f>
        <v>7.32</v>
      </c>
    </row>
    <row r="80" spans="1:4" x14ac:dyDescent="0.2">
      <c r="A80" s="81" t="s">
        <v>6</v>
      </c>
      <c r="B80" s="10" t="s">
        <v>47</v>
      </c>
      <c r="C80" s="9">
        <v>0.08</v>
      </c>
      <c r="D80" s="13">
        <f>TRUNC(D79*C80,2)</f>
        <v>0.57999999999999996</v>
      </c>
    </row>
    <row r="81" spans="1:4" x14ac:dyDescent="0.2">
      <c r="A81" s="81" t="s">
        <v>8</v>
      </c>
      <c r="B81" s="10" t="s">
        <v>48</v>
      </c>
      <c r="C81" s="9">
        <f>TRUNC(8%*5%*40%,4)</f>
        <v>1.6000000000000001E-3</v>
      </c>
      <c r="D81" s="13">
        <f>TRUNC($D$26*C81,2)</f>
        <v>2.85</v>
      </c>
    </row>
    <row r="82" spans="1:4" x14ac:dyDescent="0.2">
      <c r="A82" s="81" t="s">
        <v>10</v>
      </c>
      <c r="B82" s="10" t="s">
        <v>49</v>
      </c>
      <c r="C82" s="9">
        <f>TRUNC(((7/30)/12)*95%,4)</f>
        <v>1.84E-2</v>
      </c>
      <c r="D82" s="13">
        <f>TRUNC($D$26*C82,2)</f>
        <v>32.880000000000003</v>
      </c>
    </row>
    <row r="83" spans="1:4" ht="25.5" x14ac:dyDescent="0.2">
      <c r="A83" s="81" t="s">
        <v>12</v>
      </c>
      <c r="B83" s="10" t="s">
        <v>94</v>
      </c>
      <c r="C83" s="9">
        <f>C51</f>
        <v>0.36800000000000005</v>
      </c>
      <c r="D83" s="13">
        <f>TRUNC(D82*C83,2)</f>
        <v>12.09</v>
      </c>
    </row>
    <row r="84" spans="1:4" x14ac:dyDescent="0.2">
      <c r="A84" s="81"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80" t="s">
        <v>52</v>
      </c>
      <c r="B93" s="98" t="s">
        <v>79</v>
      </c>
      <c r="C93" s="98"/>
      <c r="D93" s="80" t="s">
        <v>3</v>
      </c>
    </row>
    <row r="94" spans="1:4" x14ac:dyDescent="0.2">
      <c r="A94" s="81" t="s">
        <v>4</v>
      </c>
      <c r="B94" s="79" t="s">
        <v>80</v>
      </c>
      <c r="C94" s="9">
        <f>TRUNC(((1+1/3)/12)/12,4)*0</f>
        <v>0</v>
      </c>
      <c r="D94" s="13">
        <f t="shared" ref="D94:D99" si="2">TRUNC(($D$26+$D$73+$D$85)*C94,2)</f>
        <v>0</v>
      </c>
    </row>
    <row r="95" spans="1:4" x14ac:dyDescent="0.2">
      <c r="A95" s="81" t="s">
        <v>6</v>
      </c>
      <c r="B95" s="79" t="s">
        <v>81</v>
      </c>
      <c r="C95" s="9">
        <f>TRUNC(((2/30)/12),4)</f>
        <v>5.4999999999999997E-3</v>
      </c>
      <c r="D95" s="13">
        <f t="shared" si="2"/>
        <v>18.91</v>
      </c>
    </row>
    <row r="96" spans="1:4" x14ac:dyDescent="0.2">
      <c r="A96" s="81" t="s">
        <v>8</v>
      </c>
      <c r="B96" s="79" t="s">
        <v>82</v>
      </c>
      <c r="C96" s="9">
        <f>TRUNC(((5/30)/12)*2%,4)*0</f>
        <v>0</v>
      </c>
      <c r="D96" s="13">
        <f t="shared" si="2"/>
        <v>0</v>
      </c>
    </row>
    <row r="97" spans="1:4" x14ac:dyDescent="0.2">
      <c r="A97" s="81" t="s">
        <v>10</v>
      </c>
      <c r="B97" s="79" t="s">
        <v>83</v>
      </c>
      <c r="C97" s="9">
        <f>TRUNC(((15/30)/12)*8%,4)*0</f>
        <v>0</v>
      </c>
      <c r="D97" s="13">
        <f t="shared" si="2"/>
        <v>0</v>
      </c>
    </row>
    <row r="98" spans="1:4" x14ac:dyDescent="0.2">
      <c r="A98" s="81" t="s">
        <v>12</v>
      </c>
      <c r="B98" s="79" t="s">
        <v>84</v>
      </c>
      <c r="C98" s="9">
        <f>((1+1/3)/12)*3%*(4/12)*0</f>
        <v>0</v>
      </c>
      <c r="D98" s="13">
        <f t="shared" si="2"/>
        <v>0</v>
      </c>
    </row>
    <row r="99" spans="1:4" x14ac:dyDescent="0.2">
      <c r="A99" s="81" t="s">
        <v>31</v>
      </c>
      <c r="B99" s="79" t="s">
        <v>85</v>
      </c>
      <c r="C99" s="9"/>
      <c r="D99" s="13">
        <f t="shared" si="2"/>
        <v>0</v>
      </c>
    </row>
    <row r="100" spans="1:4" x14ac:dyDescent="0.2">
      <c r="A100" s="89" t="s">
        <v>36</v>
      </c>
      <c r="B100" s="89"/>
      <c r="C100" s="89"/>
      <c r="D100" s="17">
        <f>SUM(D94:D99)</f>
        <v>18.91</v>
      </c>
    </row>
    <row r="103" spans="1:4" x14ac:dyDescent="0.2">
      <c r="A103" s="99" t="s">
        <v>86</v>
      </c>
      <c r="B103" s="99"/>
      <c r="C103" s="99"/>
      <c r="D103" s="99"/>
    </row>
    <row r="104" spans="1:4" x14ac:dyDescent="0.2">
      <c r="A104" s="3"/>
    </row>
    <row r="105" spans="1:4" x14ac:dyDescent="0.2">
      <c r="A105" s="80" t="s">
        <v>53</v>
      </c>
      <c r="B105" s="98" t="s">
        <v>87</v>
      </c>
      <c r="C105" s="98"/>
      <c r="D105" s="80" t="s">
        <v>3</v>
      </c>
    </row>
    <row r="106" spans="1:4" x14ac:dyDescent="0.2">
      <c r="A106" s="81"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80">
        <v>4</v>
      </c>
      <c r="B112" s="89" t="s">
        <v>55</v>
      </c>
      <c r="C112" s="89"/>
      <c r="D112" s="80" t="s">
        <v>3</v>
      </c>
    </row>
    <row r="113" spans="1:4" x14ac:dyDescent="0.2">
      <c r="A113" s="81" t="s">
        <v>52</v>
      </c>
      <c r="B113" s="90" t="s">
        <v>79</v>
      </c>
      <c r="C113" s="90"/>
      <c r="D113" s="14">
        <f>D100</f>
        <v>18.91</v>
      </c>
    </row>
    <row r="114" spans="1:4" x14ac:dyDescent="0.2">
      <c r="A114" s="81" t="s">
        <v>53</v>
      </c>
      <c r="B114" s="90" t="s">
        <v>87</v>
      </c>
      <c r="C114" s="90"/>
      <c r="D114" s="14">
        <f>D107</f>
        <v>0</v>
      </c>
    </row>
    <row r="115" spans="1:4" x14ac:dyDescent="0.2">
      <c r="A115" s="89" t="s">
        <v>16</v>
      </c>
      <c r="B115" s="89"/>
      <c r="C115" s="89"/>
      <c r="D115" s="17">
        <f>SUM(D113:D114)</f>
        <v>18.91</v>
      </c>
    </row>
    <row r="118" spans="1:4" x14ac:dyDescent="0.2">
      <c r="A118" s="93" t="s">
        <v>56</v>
      </c>
      <c r="B118" s="93"/>
      <c r="C118" s="93"/>
      <c r="D118" s="93"/>
    </row>
    <row r="120" spans="1:4" x14ac:dyDescent="0.2">
      <c r="A120" s="80">
        <v>5</v>
      </c>
      <c r="B120" s="96" t="s">
        <v>57</v>
      </c>
      <c r="C120" s="96"/>
      <c r="D120" s="80" t="s">
        <v>3</v>
      </c>
    </row>
    <row r="121" spans="1:4" x14ac:dyDescent="0.2">
      <c r="A121" s="81" t="s">
        <v>4</v>
      </c>
      <c r="B121" s="79" t="s">
        <v>58</v>
      </c>
      <c r="C121" s="79"/>
      <c r="D121" s="13">
        <v>151.96</v>
      </c>
    </row>
    <row r="122" spans="1:4" x14ac:dyDescent="0.2">
      <c r="A122" s="81" t="s">
        <v>6</v>
      </c>
      <c r="B122" s="79" t="s">
        <v>59</v>
      </c>
      <c r="C122" s="79"/>
      <c r="D122" s="13">
        <v>2.39</v>
      </c>
    </row>
    <row r="123" spans="1:4" x14ac:dyDescent="0.2">
      <c r="A123" s="81" t="s">
        <v>8</v>
      </c>
      <c r="B123" s="79" t="s">
        <v>60</v>
      </c>
      <c r="C123" s="79"/>
      <c r="D123" s="13">
        <v>22.25</v>
      </c>
    </row>
    <row r="124" spans="1:4" x14ac:dyDescent="0.2">
      <c r="A124" s="81" t="s">
        <v>10</v>
      </c>
      <c r="B124" s="79" t="s">
        <v>191</v>
      </c>
      <c r="C124" s="79"/>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80">
        <v>6</v>
      </c>
      <c r="B131" s="82" t="s">
        <v>62</v>
      </c>
      <c r="C131" s="80" t="s">
        <v>25</v>
      </c>
      <c r="D131" s="80" t="s">
        <v>3</v>
      </c>
    </row>
    <row r="132" spans="1:4" x14ac:dyDescent="0.2">
      <c r="A132" s="81" t="s">
        <v>4</v>
      </c>
      <c r="B132" s="79" t="s">
        <v>63</v>
      </c>
      <c r="C132" s="9">
        <v>0.06</v>
      </c>
      <c r="D132" s="14">
        <f>D152*C132</f>
        <v>227.04866399999997</v>
      </c>
    </row>
    <row r="133" spans="1:4" x14ac:dyDescent="0.2">
      <c r="A133" s="81" t="s">
        <v>6</v>
      </c>
      <c r="B133" s="79" t="s">
        <v>64</v>
      </c>
      <c r="C133" s="9">
        <v>6.7900000000000002E-2</v>
      </c>
      <c r="D133" s="13">
        <f>(D152+D132)*C133</f>
        <v>272.36000904560001</v>
      </c>
    </row>
    <row r="134" spans="1:4" x14ac:dyDescent="0.2">
      <c r="A134" s="81" t="s">
        <v>8</v>
      </c>
      <c r="B134" s="79" t="s">
        <v>65</v>
      </c>
      <c r="C134" s="12">
        <f>SUM(C135:C140)</f>
        <v>8.6499999999999994E-2</v>
      </c>
      <c r="D134" s="13">
        <f>(D152+D132+D133)*C134/(1-C134)</f>
        <v>405.61285256534683</v>
      </c>
    </row>
    <row r="135" spans="1:4" x14ac:dyDescent="0.2">
      <c r="A135" s="81"/>
      <c r="B135" s="79" t="s">
        <v>66</v>
      </c>
      <c r="C135" s="9"/>
      <c r="D135" s="14">
        <f>$D$154*C135</f>
        <v>0</v>
      </c>
    </row>
    <row r="136" spans="1:4" x14ac:dyDescent="0.2">
      <c r="A136" s="81"/>
      <c r="B136" s="79" t="s">
        <v>96</v>
      </c>
      <c r="C136" s="9">
        <v>6.4999999999999997E-3</v>
      </c>
      <c r="D136" s="14">
        <f t="shared" ref="D136:D140" si="3">$D$154*C136</f>
        <v>30.479578516471154</v>
      </c>
    </row>
    <row r="137" spans="1:4" x14ac:dyDescent="0.2">
      <c r="A137" s="81"/>
      <c r="B137" s="79" t="s">
        <v>97</v>
      </c>
      <c r="C137" s="9">
        <v>0.03</v>
      </c>
      <c r="D137" s="14">
        <f t="shared" si="3"/>
        <v>140.6749777683284</v>
      </c>
    </row>
    <row r="138" spans="1:4" x14ac:dyDescent="0.2">
      <c r="A138" s="81"/>
      <c r="B138" s="79" t="s">
        <v>67</v>
      </c>
      <c r="C138" s="81"/>
      <c r="D138" s="14">
        <f t="shared" si="3"/>
        <v>0</v>
      </c>
    </row>
    <row r="139" spans="1:4" x14ac:dyDescent="0.2">
      <c r="A139" s="81"/>
      <c r="B139" s="79" t="s">
        <v>68</v>
      </c>
      <c r="C139" s="9"/>
      <c r="D139" s="14">
        <f t="shared" si="3"/>
        <v>0</v>
      </c>
    </row>
    <row r="140" spans="1:4" x14ac:dyDescent="0.2">
      <c r="A140" s="81"/>
      <c r="B140" s="79" t="s">
        <v>98</v>
      </c>
      <c r="C140" s="9">
        <v>0.05</v>
      </c>
      <c r="D140" s="14">
        <f t="shared" si="3"/>
        <v>234.45829628054736</v>
      </c>
    </row>
    <row r="141" spans="1:4" ht="13.5" x14ac:dyDescent="0.2">
      <c r="A141" s="85" t="s">
        <v>36</v>
      </c>
      <c r="B141" s="97"/>
      <c r="C141" s="19">
        <f>(1+C133)*(1+C132)/(1-C134)-1</f>
        <v>0.2391614668856048</v>
      </c>
      <c r="D141" s="17">
        <f>SUM(D132:D134)</f>
        <v>905.02152561094681</v>
      </c>
    </row>
    <row r="144" spans="1:4" x14ac:dyDescent="0.2">
      <c r="A144" s="93" t="s">
        <v>69</v>
      </c>
      <c r="B144" s="93"/>
      <c r="C144" s="93"/>
      <c r="D144" s="93"/>
    </row>
    <row r="146" spans="1:4" x14ac:dyDescent="0.2">
      <c r="A146" s="80"/>
      <c r="B146" s="89" t="s">
        <v>70</v>
      </c>
      <c r="C146" s="89"/>
      <c r="D146" s="80" t="s">
        <v>3</v>
      </c>
    </row>
    <row r="147" spans="1:4" x14ac:dyDescent="0.2">
      <c r="A147" s="80" t="s">
        <v>4</v>
      </c>
      <c r="B147" s="90" t="s">
        <v>1</v>
      </c>
      <c r="C147" s="90"/>
      <c r="D147" s="20">
        <f>D26</f>
        <v>1787.2529999999999</v>
      </c>
    </row>
    <row r="148" spans="1:4" x14ac:dyDescent="0.2">
      <c r="A148" s="80" t="s">
        <v>6</v>
      </c>
      <c r="B148" s="90" t="s">
        <v>17</v>
      </c>
      <c r="C148" s="90"/>
      <c r="D148" s="20">
        <f>D73</f>
        <v>1541.7513999999999</v>
      </c>
    </row>
    <row r="149" spans="1:4" x14ac:dyDescent="0.2">
      <c r="A149" s="80" t="s">
        <v>8</v>
      </c>
      <c r="B149" s="90" t="s">
        <v>44</v>
      </c>
      <c r="C149" s="90"/>
      <c r="D149" s="20">
        <f>D85</f>
        <v>110.05</v>
      </c>
    </row>
    <row r="150" spans="1:4" x14ac:dyDescent="0.2">
      <c r="A150" s="80" t="s">
        <v>10</v>
      </c>
      <c r="B150" s="90" t="s">
        <v>51</v>
      </c>
      <c r="C150" s="90"/>
      <c r="D150" s="20">
        <f>D115</f>
        <v>18.91</v>
      </c>
    </row>
    <row r="151" spans="1:4" x14ac:dyDescent="0.2">
      <c r="A151" s="80" t="s">
        <v>12</v>
      </c>
      <c r="B151" s="90" t="s">
        <v>56</v>
      </c>
      <c r="C151" s="90"/>
      <c r="D151" s="20">
        <f>D126</f>
        <v>326.17999999999995</v>
      </c>
    </row>
    <row r="152" spans="1:4" x14ac:dyDescent="0.2">
      <c r="A152" s="89" t="s">
        <v>95</v>
      </c>
      <c r="B152" s="89"/>
      <c r="C152" s="89"/>
      <c r="D152" s="21">
        <f>SUM(D147:D151)</f>
        <v>3784.1443999999997</v>
      </c>
    </row>
    <row r="153" spans="1:4" x14ac:dyDescent="0.2">
      <c r="A153" s="80" t="s">
        <v>31</v>
      </c>
      <c r="B153" s="90" t="s">
        <v>71</v>
      </c>
      <c r="C153" s="90"/>
      <c r="D153" s="22">
        <f>D141</f>
        <v>905.02152561094681</v>
      </c>
    </row>
    <row r="154" spans="1:4" x14ac:dyDescent="0.2">
      <c r="A154" s="89" t="s">
        <v>72</v>
      </c>
      <c r="B154" s="89"/>
      <c r="C154" s="89"/>
      <c r="D154" s="21">
        <f>SUM(D152:D153)</f>
        <v>4689.1659256109469</v>
      </c>
    </row>
  </sheetData>
  <mergeCells count="73">
    <mergeCell ref="A154:C154"/>
    <mergeCell ref="B148:C148"/>
    <mergeCell ref="B149:C149"/>
    <mergeCell ref="B150:C150"/>
    <mergeCell ref="B151:C151"/>
    <mergeCell ref="A152:C152"/>
    <mergeCell ref="B153:C153"/>
    <mergeCell ref="B147:C147"/>
    <mergeCell ref="B112:C112"/>
    <mergeCell ref="B113:C113"/>
    <mergeCell ref="B114:C114"/>
    <mergeCell ref="A115:C115"/>
    <mergeCell ref="A118:D118"/>
    <mergeCell ref="B120:C120"/>
    <mergeCell ref="A126:C126"/>
    <mergeCell ref="A129:D129"/>
    <mergeCell ref="A141:B141"/>
    <mergeCell ref="A144:D144"/>
    <mergeCell ref="B146:C146"/>
    <mergeCell ref="A110:D110"/>
    <mergeCell ref="A76:D76"/>
    <mergeCell ref="B78:C78"/>
    <mergeCell ref="A85:C85"/>
    <mergeCell ref="A88:D88"/>
    <mergeCell ref="A91:D91"/>
    <mergeCell ref="B93:C93"/>
    <mergeCell ref="A100:C100"/>
    <mergeCell ref="A103:D103"/>
    <mergeCell ref="B105:C105"/>
    <mergeCell ref="B106:C106"/>
    <mergeCell ref="A107:C107"/>
    <mergeCell ref="A73:C73"/>
    <mergeCell ref="B59:C59"/>
    <mergeCell ref="B60:C60"/>
    <mergeCell ref="B61:C61"/>
    <mergeCell ref="B62:C62"/>
    <mergeCell ref="B63:C63"/>
    <mergeCell ref="A64:C64"/>
    <mergeCell ref="A67:D67"/>
    <mergeCell ref="B69:C69"/>
    <mergeCell ref="B70:C70"/>
    <mergeCell ref="B71:C71"/>
    <mergeCell ref="B72:C72"/>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zoomScale="115" zoomScaleNormal="115" workbookViewId="0">
      <selection activeCell="D63" sqref="D63"/>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122</v>
      </c>
      <c r="B6" s="86"/>
      <c r="C6" s="35" t="s">
        <v>100</v>
      </c>
      <c r="D6" s="32" t="s">
        <v>120</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row>
    <row r="23" spans="1:4" x14ac:dyDescent="0.2">
      <c r="A23" s="34" t="s">
        <v>12</v>
      </c>
      <c r="B23" s="90" t="s">
        <v>13</v>
      </c>
      <c r="C23" s="90"/>
      <c r="D23" s="13"/>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148.87</v>
      </c>
    </row>
    <row r="35" spans="1:4" x14ac:dyDescent="0.2">
      <c r="A35" s="34" t="s">
        <v>6</v>
      </c>
      <c r="B35" s="31" t="s">
        <v>117</v>
      </c>
      <c r="C35" s="12">
        <f>TRUNC(((1)/12),4)</f>
        <v>8.3299999999999999E-2</v>
      </c>
      <c r="D35" s="13">
        <f>TRUNC($D$26*C35,2)</f>
        <v>148.87</v>
      </c>
    </row>
    <row r="36" spans="1:4" x14ac:dyDescent="0.2">
      <c r="A36" s="34" t="s">
        <v>8</v>
      </c>
      <c r="B36" s="31"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428.68</v>
      </c>
    </row>
    <row r="44" spans="1:4" x14ac:dyDescent="0.2">
      <c r="A44" s="34" t="s">
        <v>6</v>
      </c>
      <c r="B44" s="31" t="s">
        <v>27</v>
      </c>
      <c r="C44" s="9">
        <v>2.5000000000000001E-2</v>
      </c>
      <c r="D44" s="13">
        <f t="shared" ref="D44:D50" si="0">TRUNC(($D$26+$D$37)*C44,2)</f>
        <v>53.58</v>
      </c>
    </row>
    <row r="45" spans="1:4" x14ac:dyDescent="0.2">
      <c r="A45" s="34" t="s">
        <v>8</v>
      </c>
      <c r="B45" s="31" t="s">
        <v>28</v>
      </c>
      <c r="C45" s="16">
        <v>0.03</v>
      </c>
      <c r="D45" s="13">
        <f t="shared" si="0"/>
        <v>64.3</v>
      </c>
    </row>
    <row r="46" spans="1:4" x14ac:dyDescent="0.2">
      <c r="A46" s="34" t="s">
        <v>10</v>
      </c>
      <c r="B46" s="31" t="s">
        <v>29</v>
      </c>
      <c r="C46" s="9">
        <v>1.4999999999999999E-2</v>
      </c>
      <c r="D46" s="13">
        <f t="shared" si="0"/>
        <v>32.15</v>
      </c>
    </row>
    <row r="47" spans="1:4" x14ac:dyDescent="0.2">
      <c r="A47" s="34" t="s">
        <v>12</v>
      </c>
      <c r="B47" s="31" t="s">
        <v>30</v>
      </c>
      <c r="C47" s="9">
        <v>0.01</v>
      </c>
      <c r="D47" s="13">
        <f t="shared" si="0"/>
        <v>21.43</v>
      </c>
    </row>
    <row r="48" spans="1:4" x14ac:dyDescent="0.2">
      <c r="A48" s="34" t="s">
        <v>31</v>
      </c>
      <c r="B48" s="31" t="s">
        <v>32</v>
      </c>
      <c r="C48" s="9">
        <v>6.0000000000000001E-3</v>
      </c>
      <c r="D48" s="13">
        <f t="shared" si="0"/>
        <v>12.86</v>
      </c>
    </row>
    <row r="49" spans="1:4" x14ac:dyDescent="0.2">
      <c r="A49" s="34" t="s">
        <v>14</v>
      </c>
      <c r="B49" s="31" t="s">
        <v>33</v>
      </c>
      <c r="C49" s="9">
        <v>2E-3</v>
      </c>
      <c r="D49" s="13">
        <f t="shared" si="0"/>
        <v>4.28</v>
      </c>
    </row>
    <row r="50" spans="1:4" x14ac:dyDescent="0.2">
      <c r="A50" s="34" t="s">
        <v>34</v>
      </c>
      <c r="B50" s="31"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(15*2*3.92)-(D19*0.06)</f>
        <v>35.111400000000003</v>
      </c>
    </row>
    <row r="58" spans="1:4" x14ac:dyDescent="0.2">
      <c r="A58" s="34" t="s">
        <v>6</v>
      </c>
      <c r="B58" s="90" t="s">
        <v>41</v>
      </c>
      <c r="C58" s="90"/>
      <c r="D58" s="13">
        <f>16*15*0.85</f>
        <v>204</v>
      </c>
    </row>
    <row r="59" spans="1:4" x14ac:dyDescent="0.2">
      <c r="A59" s="34" t="s">
        <v>8</v>
      </c>
      <c r="B59" s="90" t="s">
        <v>110</v>
      </c>
      <c r="C59" s="90"/>
      <c r="D59" s="13"/>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row>
    <row r="64" spans="1:4" x14ac:dyDescent="0.2">
      <c r="A64" s="89" t="s">
        <v>16</v>
      </c>
      <c r="B64" s="89"/>
      <c r="C64" s="89"/>
      <c r="D64" s="17">
        <f>SUM(D57:D63)</f>
        <v>246.76140000000001</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356.16</v>
      </c>
    </row>
    <row r="71" spans="1:4" x14ac:dyDescent="0.2">
      <c r="A71" s="34" t="s">
        <v>23</v>
      </c>
      <c r="B71" s="90" t="s">
        <v>24</v>
      </c>
      <c r="C71" s="90"/>
      <c r="D71" s="14">
        <f>D51</f>
        <v>788.74999999999989</v>
      </c>
    </row>
    <row r="72" spans="1:4" x14ac:dyDescent="0.2">
      <c r="A72" s="34" t="s">
        <v>38</v>
      </c>
      <c r="B72" s="90" t="s">
        <v>39</v>
      </c>
      <c r="C72" s="90"/>
      <c r="D72" s="14">
        <f>D64</f>
        <v>246.76140000000001</v>
      </c>
    </row>
    <row r="73" spans="1:4" x14ac:dyDescent="0.2">
      <c r="A73" s="89" t="s">
        <v>16</v>
      </c>
      <c r="B73" s="89"/>
      <c r="C73" s="89"/>
      <c r="D73" s="17">
        <f>SUM(D70:D72)</f>
        <v>1391.6713999999999</v>
      </c>
    </row>
    <row r="74" spans="1:4" x14ac:dyDescent="0.2">
      <c r="A74" s="4"/>
    </row>
    <row r="76" spans="1:4" x14ac:dyDescent="0.2">
      <c r="A76" s="93" t="s">
        <v>44</v>
      </c>
      <c r="B76" s="93"/>
      <c r="C76" s="93"/>
      <c r="D76" s="93"/>
    </row>
    <row r="77" spans="1:4" ht="12.75" customHeight="1" x14ac:dyDescent="0.2"/>
    <row r="78" spans="1:4" x14ac:dyDescent="0.2">
      <c r="A78" s="38">
        <v>3</v>
      </c>
      <c r="B78" s="98" t="s">
        <v>45</v>
      </c>
      <c r="C78" s="98"/>
      <c r="D78" s="38" t="s">
        <v>3</v>
      </c>
    </row>
    <row r="79" spans="1:4" x14ac:dyDescent="0.2">
      <c r="A79" s="39" t="s">
        <v>4</v>
      </c>
      <c r="B79" s="10" t="s">
        <v>46</v>
      </c>
      <c r="C79" s="9">
        <f>TRUNC(((1/12)*5%),4)</f>
        <v>4.1000000000000003E-3</v>
      </c>
      <c r="D79" s="13">
        <f>TRUNC($D$26*C79,2)</f>
        <v>7.32</v>
      </c>
    </row>
    <row r="80" spans="1:4" x14ac:dyDescent="0.2">
      <c r="A80" s="39" t="s">
        <v>6</v>
      </c>
      <c r="B80" s="10" t="s">
        <v>47</v>
      </c>
      <c r="C80" s="9">
        <v>0.08</v>
      </c>
      <c r="D80" s="13">
        <f>TRUNC(D79*C80,2)</f>
        <v>0.57999999999999996</v>
      </c>
    </row>
    <row r="81" spans="1:4" x14ac:dyDescent="0.2">
      <c r="A81" s="39" t="s">
        <v>8</v>
      </c>
      <c r="B81" s="10" t="s">
        <v>48</v>
      </c>
      <c r="C81" s="9">
        <f>TRUNC(8%*5%*40%,4)</f>
        <v>1.6000000000000001E-3</v>
      </c>
      <c r="D81" s="13">
        <f>TRUNC($D$26*C81,2)</f>
        <v>2.85</v>
      </c>
    </row>
    <row r="82" spans="1:4" x14ac:dyDescent="0.2">
      <c r="A82" s="39" t="s">
        <v>10</v>
      </c>
      <c r="B82" s="10" t="s">
        <v>49</v>
      </c>
      <c r="C82" s="9">
        <f>TRUNC(((7/30)/12)*95%,4)</f>
        <v>1.84E-2</v>
      </c>
      <c r="D82" s="13">
        <f>TRUNC($D$26*C82,2)</f>
        <v>32.880000000000003</v>
      </c>
    </row>
    <row r="83" spans="1:4" ht="25.5" x14ac:dyDescent="0.2">
      <c r="A83" s="39" t="s">
        <v>12</v>
      </c>
      <c r="B83" s="10" t="s">
        <v>94</v>
      </c>
      <c r="C83" s="9">
        <f>C51</f>
        <v>0.36800000000000005</v>
      </c>
      <c r="D83" s="13">
        <f>TRUNC(D82*C83,2)</f>
        <v>12.09</v>
      </c>
    </row>
    <row r="84" spans="1:4" x14ac:dyDescent="0.2">
      <c r="A84" s="39"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38" t="s">
        <v>52</v>
      </c>
      <c r="B93" s="98" t="s">
        <v>79</v>
      </c>
      <c r="C93" s="98"/>
      <c r="D93" s="38" t="s">
        <v>3</v>
      </c>
    </row>
    <row r="94" spans="1:4" x14ac:dyDescent="0.2">
      <c r="A94" s="39" t="s">
        <v>4</v>
      </c>
      <c r="B94" s="37" t="s">
        <v>80</v>
      </c>
      <c r="C94" s="9">
        <f>TRUNC(((1+1/3)/12)/12,4)*0</f>
        <v>0</v>
      </c>
      <c r="D94" s="13">
        <f t="shared" ref="D94:D99" si="2">TRUNC(($D$26+$D$73+$D$85)*C94,2)</f>
        <v>0</v>
      </c>
    </row>
    <row r="95" spans="1:4" x14ac:dyDescent="0.2">
      <c r="A95" s="39" t="s">
        <v>6</v>
      </c>
      <c r="B95" s="37" t="s">
        <v>81</v>
      </c>
      <c r="C95" s="9">
        <f>TRUNC(((2/30)/12),4)</f>
        <v>5.4999999999999997E-3</v>
      </c>
      <c r="D95" s="13">
        <f t="shared" si="2"/>
        <v>18.079999999999998</v>
      </c>
    </row>
    <row r="96" spans="1:4" x14ac:dyDescent="0.2">
      <c r="A96" s="39" t="s">
        <v>8</v>
      </c>
      <c r="B96" s="37" t="s">
        <v>82</v>
      </c>
      <c r="C96" s="9">
        <f>TRUNC(((5/30)/12)*2%,4)*0</f>
        <v>0</v>
      </c>
      <c r="D96" s="13">
        <f t="shared" si="2"/>
        <v>0</v>
      </c>
    </row>
    <row r="97" spans="1:4" x14ac:dyDescent="0.2">
      <c r="A97" s="39" t="s">
        <v>10</v>
      </c>
      <c r="B97" s="37" t="s">
        <v>83</v>
      </c>
      <c r="C97" s="9">
        <f>TRUNC(((15/30)/12)*8%,4)*0</f>
        <v>0</v>
      </c>
      <c r="D97" s="13">
        <f t="shared" si="2"/>
        <v>0</v>
      </c>
    </row>
    <row r="98" spans="1:4" x14ac:dyDescent="0.2">
      <c r="A98" s="39" t="s">
        <v>12</v>
      </c>
      <c r="B98" s="37" t="s">
        <v>84</v>
      </c>
      <c r="C98" s="9">
        <f>((1+1/3)/12)*3%*(4/12)*0</f>
        <v>0</v>
      </c>
      <c r="D98" s="13">
        <f t="shared" si="2"/>
        <v>0</v>
      </c>
    </row>
    <row r="99" spans="1:4" x14ac:dyDescent="0.2">
      <c r="A99" s="39" t="s">
        <v>31</v>
      </c>
      <c r="B99" s="37" t="s">
        <v>85</v>
      </c>
      <c r="C99" s="9"/>
      <c r="D99" s="13">
        <f t="shared" si="2"/>
        <v>0</v>
      </c>
    </row>
    <row r="100" spans="1:4" x14ac:dyDescent="0.2">
      <c r="A100" s="89" t="s">
        <v>36</v>
      </c>
      <c r="B100" s="89"/>
      <c r="C100" s="89"/>
      <c r="D100" s="17">
        <f>SUM(D94:D99)</f>
        <v>18.079999999999998</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18.079999999999998</v>
      </c>
    </row>
    <row r="114" spans="1:4" x14ac:dyDescent="0.2">
      <c r="A114" s="34" t="s">
        <v>53</v>
      </c>
      <c r="B114" s="90" t="s">
        <v>87</v>
      </c>
      <c r="C114" s="90"/>
      <c r="D114" s="14">
        <f>D107</f>
        <v>0</v>
      </c>
    </row>
    <row r="115" spans="1:4" x14ac:dyDescent="0.2">
      <c r="A115" s="89" t="s">
        <v>16</v>
      </c>
      <c r="B115" s="89"/>
      <c r="C115" s="89"/>
      <c r="D115" s="17">
        <f>SUM(D113:D114)</f>
        <v>18.079999999999998</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217.99406399999998</v>
      </c>
    </row>
    <row r="133" spans="1:4" x14ac:dyDescent="0.2">
      <c r="A133" s="34" t="s">
        <v>6</v>
      </c>
      <c r="B133" s="31" t="s">
        <v>64</v>
      </c>
      <c r="C133" s="9">
        <v>6.7900000000000002E-2</v>
      </c>
      <c r="D133" s="13">
        <f>(D152+D132)*C133</f>
        <v>261.4984127056</v>
      </c>
    </row>
    <row r="134" spans="1:4" x14ac:dyDescent="0.2">
      <c r="A134" s="34" t="s">
        <v>8</v>
      </c>
      <c r="B134" s="31" t="s">
        <v>65</v>
      </c>
      <c r="C134" s="12">
        <f>SUM(C135:C140)</f>
        <v>8.6499999999999994E-2</v>
      </c>
      <c r="D134" s="13">
        <f>(D152+D132+D133)*C134/(1-C134)</f>
        <v>389.43719193764019</v>
      </c>
    </row>
    <row r="135" spans="1:4" x14ac:dyDescent="0.2">
      <c r="A135" s="34"/>
      <c r="B135" s="31" t="s">
        <v>66</v>
      </c>
      <c r="C135" s="9"/>
      <c r="D135" s="14">
        <f>$D$154*C135</f>
        <v>0</v>
      </c>
    </row>
    <row r="136" spans="1:4" x14ac:dyDescent="0.2">
      <c r="A136" s="34"/>
      <c r="B136" s="31" t="s">
        <v>96</v>
      </c>
      <c r="C136" s="9">
        <v>6.4999999999999997E-3</v>
      </c>
      <c r="D136" s="14">
        <f t="shared" ref="D136:D140" si="3">$D$154*C136</f>
        <v>29.264066446181058</v>
      </c>
    </row>
    <row r="137" spans="1:4" x14ac:dyDescent="0.2">
      <c r="A137" s="34"/>
      <c r="B137" s="31" t="s">
        <v>97</v>
      </c>
      <c r="C137" s="9">
        <v>0.03</v>
      </c>
      <c r="D137" s="14">
        <f t="shared" si="3"/>
        <v>135.0649220592972</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225.10820343216201</v>
      </c>
    </row>
    <row r="141" spans="1:4" ht="13.5" x14ac:dyDescent="0.2">
      <c r="A141" s="85" t="s">
        <v>36</v>
      </c>
      <c r="B141" s="97"/>
      <c r="C141" s="19">
        <f>(1+C133)*(1+C132)/(1-C134)-1</f>
        <v>0.2391614668856048</v>
      </c>
      <c r="D141" s="17">
        <f>SUM(D132:D134)</f>
        <v>868.92966864324012</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1787.2529999999999</v>
      </c>
    </row>
    <row r="148" spans="1:4" x14ac:dyDescent="0.2">
      <c r="A148" s="32" t="s">
        <v>6</v>
      </c>
      <c r="B148" s="90" t="s">
        <v>17</v>
      </c>
      <c r="C148" s="90"/>
      <c r="D148" s="20">
        <f>D73</f>
        <v>1391.6713999999999</v>
      </c>
    </row>
    <row r="149" spans="1:4" x14ac:dyDescent="0.2">
      <c r="A149" s="32" t="s">
        <v>8</v>
      </c>
      <c r="B149" s="90" t="s">
        <v>44</v>
      </c>
      <c r="C149" s="90"/>
      <c r="D149" s="20">
        <f>D85</f>
        <v>110.05</v>
      </c>
    </row>
    <row r="150" spans="1:4" x14ac:dyDescent="0.2">
      <c r="A150" s="32" t="s">
        <v>10</v>
      </c>
      <c r="B150" s="90" t="s">
        <v>51</v>
      </c>
      <c r="C150" s="90"/>
      <c r="D150" s="20">
        <f>D115</f>
        <v>18.079999999999998</v>
      </c>
    </row>
    <row r="151" spans="1:4" x14ac:dyDescent="0.2">
      <c r="A151" s="32" t="s">
        <v>12</v>
      </c>
      <c r="B151" s="90" t="s">
        <v>56</v>
      </c>
      <c r="C151" s="90"/>
      <c r="D151" s="20">
        <f>D126</f>
        <v>326.17999999999995</v>
      </c>
    </row>
    <row r="152" spans="1:4" x14ac:dyDescent="0.2">
      <c r="A152" s="89" t="s">
        <v>95</v>
      </c>
      <c r="B152" s="89"/>
      <c r="C152" s="89"/>
      <c r="D152" s="21">
        <f>SUM(D147:D151)</f>
        <v>3633.2343999999998</v>
      </c>
    </row>
    <row r="153" spans="1:4" x14ac:dyDescent="0.2">
      <c r="A153" s="32" t="s">
        <v>31</v>
      </c>
      <c r="B153" s="90" t="s">
        <v>71</v>
      </c>
      <c r="C153" s="90"/>
      <c r="D153" s="22">
        <f>D141</f>
        <v>868.92966864324012</v>
      </c>
    </row>
    <row r="154" spans="1:4" x14ac:dyDescent="0.2">
      <c r="A154" s="89" t="s">
        <v>72</v>
      </c>
      <c r="B154" s="89"/>
      <c r="C154" s="89"/>
      <c r="D154" s="21">
        <f>SUM(D152:D153)</f>
        <v>4502.1640686432402</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49" zoomScale="115" zoomScaleNormal="115" workbookViewId="0">
      <selection activeCell="D63" sqref="D63"/>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123</v>
      </c>
      <c r="B6" s="86"/>
      <c r="C6" s="35" t="s">
        <v>100</v>
      </c>
      <c r="D6" s="32" t="s">
        <v>120</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f>8*15*((D19+D20)/220)*0.35</f>
        <v>341.20284545454541</v>
      </c>
    </row>
    <row r="23" spans="1:4" x14ac:dyDescent="0.2">
      <c r="A23" s="34" t="s">
        <v>12</v>
      </c>
      <c r="B23" s="90" t="s">
        <v>13</v>
      </c>
      <c r="C23" s="90"/>
      <c r="D23" s="13">
        <f>15*((D19+D20)/220)</f>
        <v>121.85815909090908</v>
      </c>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2250.3140045454543</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187.45</v>
      </c>
    </row>
    <row r="35" spans="1:4" x14ac:dyDescent="0.2">
      <c r="A35" s="34" t="s">
        <v>6</v>
      </c>
      <c r="B35" s="31" t="s">
        <v>117</v>
      </c>
      <c r="C35" s="12">
        <f>TRUNC(((1)/12),4)</f>
        <v>8.3299999999999999E-2</v>
      </c>
      <c r="D35" s="13">
        <f>TRUNC($D$26*C35,2)</f>
        <v>187.45</v>
      </c>
    </row>
    <row r="36" spans="1:4" x14ac:dyDescent="0.2">
      <c r="A36" s="34" t="s">
        <v>8</v>
      </c>
      <c r="B36" s="31" t="s">
        <v>118</v>
      </c>
      <c r="C36" s="36">
        <f>TRUNC(((1/3)/12),4)</f>
        <v>2.7699999999999999E-2</v>
      </c>
      <c r="D36" s="13">
        <f>TRUNC($D$26*C36,2)</f>
        <v>62.33</v>
      </c>
    </row>
    <row r="37" spans="1:4" x14ac:dyDescent="0.2">
      <c r="A37" s="89" t="s">
        <v>16</v>
      </c>
      <c r="B37" s="89"/>
      <c r="C37" s="26">
        <f>SUM(C34:C36)</f>
        <v>0.1943</v>
      </c>
      <c r="D37" s="17">
        <f>SUM(D34:D36)</f>
        <v>437.22999999999996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537.5</v>
      </c>
    </row>
    <row r="44" spans="1:4" x14ac:dyDescent="0.2">
      <c r="A44" s="34" t="s">
        <v>6</v>
      </c>
      <c r="B44" s="31" t="s">
        <v>27</v>
      </c>
      <c r="C44" s="9">
        <v>2.5000000000000001E-2</v>
      </c>
      <c r="D44" s="13">
        <f t="shared" ref="D44:D50" si="0">TRUNC(($D$26+$D$37)*C44,2)</f>
        <v>67.180000000000007</v>
      </c>
    </row>
    <row r="45" spans="1:4" x14ac:dyDescent="0.2">
      <c r="A45" s="34" t="s">
        <v>8</v>
      </c>
      <c r="B45" s="31" t="s">
        <v>28</v>
      </c>
      <c r="C45" s="16">
        <v>0.03</v>
      </c>
      <c r="D45" s="13">
        <f t="shared" si="0"/>
        <v>80.62</v>
      </c>
    </row>
    <row r="46" spans="1:4" x14ac:dyDescent="0.2">
      <c r="A46" s="34" t="s">
        <v>10</v>
      </c>
      <c r="B46" s="31" t="s">
        <v>29</v>
      </c>
      <c r="C46" s="9">
        <v>1.4999999999999999E-2</v>
      </c>
      <c r="D46" s="13">
        <f t="shared" si="0"/>
        <v>40.31</v>
      </c>
    </row>
    <row r="47" spans="1:4" x14ac:dyDescent="0.2">
      <c r="A47" s="34" t="s">
        <v>12</v>
      </c>
      <c r="B47" s="31" t="s">
        <v>30</v>
      </c>
      <c r="C47" s="9">
        <v>0.01</v>
      </c>
      <c r="D47" s="13">
        <f t="shared" si="0"/>
        <v>26.87</v>
      </c>
    </row>
    <row r="48" spans="1:4" x14ac:dyDescent="0.2">
      <c r="A48" s="34" t="s">
        <v>31</v>
      </c>
      <c r="B48" s="31" t="s">
        <v>32</v>
      </c>
      <c r="C48" s="9">
        <v>6.0000000000000001E-3</v>
      </c>
      <c r="D48" s="13">
        <f t="shared" si="0"/>
        <v>16.12</v>
      </c>
    </row>
    <row r="49" spans="1:4" x14ac:dyDescent="0.2">
      <c r="A49" s="34" t="s">
        <v>14</v>
      </c>
      <c r="B49" s="31" t="s">
        <v>33</v>
      </c>
      <c r="C49" s="9">
        <v>2E-3</v>
      </c>
      <c r="D49" s="13">
        <f t="shared" si="0"/>
        <v>5.37</v>
      </c>
    </row>
    <row r="50" spans="1:4" x14ac:dyDescent="0.2">
      <c r="A50" s="34" t="s">
        <v>34</v>
      </c>
      <c r="B50" s="31" t="s">
        <v>35</v>
      </c>
      <c r="C50" s="9">
        <v>0.08</v>
      </c>
      <c r="D50" s="13">
        <f t="shared" si="0"/>
        <v>215</v>
      </c>
    </row>
    <row r="51" spans="1:4" x14ac:dyDescent="0.2">
      <c r="A51" s="89" t="s">
        <v>36</v>
      </c>
      <c r="B51" s="89"/>
      <c r="C51" s="15">
        <f>SUM(C43:C50)</f>
        <v>0.36800000000000005</v>
      </c>
      <c r="D51" s="17">
        <f>SUM(D43:D50)</f>
        <v>988.97000000000014</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(15*2*3.92)-(D19*0.06)</f>
        <v>35.111400000000003</v>
      </c>
    </row>
    <row r="58" spans="1:4" x14ac:dyDescent="0.2">
      <c r="A58" s="34" t="s">
        <v>6</v>
      </c>
      <c r="B58" s="90" t="s">
        <v>41</v>
      </c>
      <c r="C58" s="90"/>
      <c r="D58" s="13">
        <f>16*15*0.85</f>
        <v>204</v>
      </c>
    </row>
    <row r="59" spans="1:4" x14ac:dyDescent="0.2">
      <c r="A59" s="34" t="s">
        <v>8</v>
      </c>
      <c r="B59" s="90" t="s">
        <v>110</v>
      </c>
      <c r="C59" s="90"/>
      <c r="D59" s="13">
        <v>50.98</v>
      </c>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row>
    <row r="64" spans="1:4" x14ac:dyDescent="0.2">
      <c r="A64" s="89" t="s">
        <v>16</v>
      </c>
      <c r="B64" s="89"/>
      <c r="C64" s="89"/>
      <c r="D64" s="17">
        <f>SUM(D57:D63)</f>
        <v>297.7414</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437.22999999999996</v>
      </c>
    </row>
    <row r="71" spans="1:4" x14ac:dyDescent="0.2">
      <c r="A71" s="34" t="s">
        <v>23</v>
      </c>
      <c r="B71" s="90" t="s">
        <v>24</v>
      </c>
      <c r="C71" s="90"/>
      <c r="D71" s="14">
        <f>D51</f>
        <v>988.97000000000014</v>
      </c>
    </row>
    <row r="72" spans="1:4" x14ac:dyDescent="0.2">
      <c r="A72" s="34" t="s">
        <v>38</v>
      </c>
      <c r="B72" s="90" t="s">
        <v>39</v>
      </c>
      <c r="C72" s="90"/>
      <c r="D72" s="14">
        <f>D64</f>
        <v>297.7414</v>
      </c>
    </row>
    <row r="73" spans="1:4" x14ac:dyDescent="0.2">
      <c r="A73" s="89" t="s">
        <v>16</v>
      </c>
      <c r="B73" s="89"/>
      <c r="C73" s="89"/>
      <c r="D73" s="17">
        <f>SUM(D70:D72)</f>
        <v>1723.9414000000002</v>
      </c>
    </row>
    <row r="74" spans="1:4" x14ac:dyDescent="0.2">
      <c r="A74" s="4"/>
    </row>
    <row r="76" spans="1:4" x14ac:dyDescent="0.2">
      <c r="A76" s="93" t="s">
        <v>44</v>
      </c>
      <c r="B76" s="93"/>
      <c r="C76" s="93"/>
      <c r="D76" s="93"/>
    </row>
    <row r="77" spans="1:4" ht="12.75" customHeight="1" x14ac:dyDescent="0.2"/>
    <row r="78" spans="1:4" x14ac:dyDescent="0.2">
      <c r="A78" s="38">
        <v>3</v>
      </c>
      <c r="B78" s="98" t="s">
        <v>45</v>
      </c>
      <c r="C78" s="98"/>
      <c r="D78" s="38" t="s">
        <v>3</v>
      </c>
    </row>
    <row r="79" spans="1:4" x14ac:dyDescent="0.2">
      <c r="A79" s="39" t="s">
        <v>4</v>
      </c>
      <c r="B79" s="10" t="s">
        <v>46</v>
      </c>
      <c r="C79" s="9">
        <f>TRUNC(((1/12)*5%),4)</f>
        <v>4.1000000000000003E-3</v>
      </c>
      <c r="D79" s="13">
        <f>TRUNC($D$26*C79,2)</f>
        <v>9.2200000000000006</v>
      </c>
    </row>
    <row r="80" spans="1:4" x14ac:dyDescent="0.2">
      <c r="A80" s="39" t="s">
        <v>6</v>
      </c>
      <c r="B80" s="10" t="s">
        <v>47</v>
      </c>
      <c r="C80" s="9">
        <v>0.08</v>
      </c>
      <c r="D80" s="13">
        <f>TRUNC(D79*C80,2)</f>
        <v>0.73</v>
      </c>
    </row>
    <row r="81" spans="1:4" x14ac:dyDescent="0.2">
      <c r="A81" s="39" t="s">
        <v>8</v>
      </c>
      <c r="B81" s="10" t="s">
        <v>48</v>
      </c>
      <c r="C81" s="9">
        <f>TRUNC(8%*5%*40%,4)</f>
        <v>1.6000000000000001E-3</v>
      </c>
      <c r="D81" s="13">
        <f>TRUNC($D$26*C81,2)</f>
        <v>3.6</v>
      </c>
    </row>
    <row r="82" spans="1:4" x14ac:dyDescent="0.2">
      <c r="A82" s="39" t="s">
        <v>10</v>
      </c>
      <c r="B82" s="10" t="s">
        <v>49</v>
      </c>
      <c r="C82" s="9">
        <f>TRUNC(((7/30)/12)*95%,4)</f>
        <v>1.84E-2</v>
      </c>
      <c r="D82" s="13">
        <f>TRUNC($D$26*C82,2)</f>
        <v>41.4</v>
      </c>
    </row>
    <row r="83" spans="1:4" ht="25.5" x14ac:dyDescent="0.2">
      <c r="A83" s="39" t="s">
        <v>12</v>
      </c>
      <c r="B83" s="10" t="s">
        <v>94</v>
      </c>
      <c r="C83" s="9">
        <f>C51</f>
        <v>0.36800000000000005</v>
      </c>
      <c r="D83" s="13">
        <f>TRUNC(D82*C83,2)</f>
        <v>15.23</v>
      </c>
    </row>
    <row r="84" spans="1:4" x14ac:dyDescent="0.2">
      <c r="A84" s="39" t="s">
        <v>31</v>
      </c>
      <c r="B84" s="10" t="s">
        <v>50</v>
      </c>
      <c r="C84" s="9">
        <f>TRUNC(8%*95%*40%,4)</f>
        <v>3.04E-2</v>
      </c>
      <c r="D84" s="13">
        <f t="shared" ref="D84" si="1">TRUNC($D$26*C84,2)</f>
        <v>68.400000000000006</v>
      </c>
    </row>
    <row r="85" spans="1:4" x14ac:dyDescent="0.2">
      <c r="A85" s="85" t="s">
        <v>16</v>
      </c>
      <c r="B85" s="97"/>
      <c r="C85" s="86"/>
      <c r="D85" s="17">
        <f>SUM(D79:D84)</f>
        <v>138.58000000000001</v>
      </c>
    </row>
    <row r="88" spans="1:4" x14ac:dyDescent="0.2">
      <c r="A88" s="93" t="s">
        <v>51</v>
      </c>
      <c r="B88" s="93"/>
      <c r="C88" s="93"/>
      <c r="D88" s="93"/>
    </row>
    <row r="91" spans="1:4" x14ac:dyDescent="0.2">
      <c r="A91" s="99" t="s">
        <v>78</v>
      </c>
      <c r="B91" s="99"/>
      <c r="C91" s="99"/>
      <c r="D91" s="99"/>
    </row>
    <row r="92" spans="1:4" x14ac:dyDescent="0.2">
      <c r="A92" s="3"/>
    </row>
    <row r="93" spans="1:4" x14ac:dyDescent="0.2">
      <c r="A93" s="38" t="s">
        <v>52</v>
      </c>
      <c r="B93" s="98" t="s">
        <v>79</v>
      </c>
      <c r="C93" s="98"/>
      <c r="D93" s="38" t="s">
        <v>3</v>
      </c>
    </row>
    <row r="94" spans="1:4" x14ac:dyDescent="0.2">
      <c r="A94" s="39" t="s">
        <v>4</v>
      </c>
      <c r="B94" s="37" t="s">
        <v>80</v>
      </c>
      <c r="C94" s="9">
        <f>TRUNC(((1+1/3)/12)/12,4)*0</f>
        <v>0</v>
      </c>
      <c r="D94" s="13">
        <f t="shared" ref="D94:D99" si="2">TRUNC(($D$26+$D$73+$D$85)*C94,2)</f>
        <v>0</v>
      </c>
    </row>
    <row r="95" spans="1:4" x14ac:dyDescent="0.2">
      <c r="A95" s="39" t="s">
        <v>6</v>
      </c>
      <c r="B95" s="37" t="s">
        <v>81</v>
      </c>
      <c r="C95" s="9">
        <f>TRUNC(((2/30)/12),4)</f>
        <v>5.4999999999999997E-3</v>
      </c>
      <c r="D95" s="13">
        <f t="shared" si="2"/>
        <v>22.62</v>
      </c>
    </row>
    <row r="96" spans="1:4" x14ac:dyDescent="0.2">
      <c r="A96" s="39" t="s">
        <v>8</v>
      </c>
      <c r="B96" s="37" t="s">
        <v>82</v>
      </c>
      <c r="C96" s="9">
        <f>TRUNC(((5/30)/12)*2%,4)*0</f>
        <v>0</v>
      </c>
      <c r="D96" s="13">
        <f t="shared" si="2"/>
        <v>0</v>
      </c>
    </row>
    <row r="97" spans="1:4" x14ac:dyDescent="0.2">
      <c r="A97" s="39" t="s">
        <v>10</v>
      </c>
      <c r="B97" s="37" t="s">
        <v>83</v>
      </c>
      <c r="C97" s="9">
        <f>TRUNC(((15/30)/12)*8%,4)*0</f>
        <v>0</v>
      </c>
      <c r="D97" s="13">
        <f t="shared" si="2"/>
        <v>0</v>
      </c>
    </row>
    <row r="98" spans="1:4" x14ac:dyDescent="0.2">
      <c r="A98" s="39" t="s">
        <v>12</v>
      </c>
      <c r="B98" s="37" t="s">
        <v>84</v>
      </c>
      <c r="C98" s="9">
        <f>((1+1/3)/12)*3%*(4/12)*0</f>
        <v>0</v>
      </c>
      <c r="D98" s="13">
        <f t="shared" si="2"/>
        <v>0</v>
      </c>
    </row>
    <row r="99" spans="1:4" x14ac:dyDescent="0.2">
      <c r="A99" s="39" t="s">
        <v>31</v>
      </c>
      <c r="B99" s="37" t="s">
        <v>85</v>
      </c>
      <c r="C99" s="9"/>
      <c r="D99" s="13">
        <f t="shared" si="2"/>
        <v>0</v>
      </c>
    </row>
    <row r="100" spans="1:4" x14ac:dyDescent="0.2">
      <c r="A100" s="89" t="s">
        <v>36</v>
      </c>
      <c r="B100" s="89"/>
      <c r="C100" s="89"/>
      <c r="D100" s="17">
        <f>SUM(D94:D99)</f>
        <v>22.62</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22.62</v>
      </c>
    </row>
    <row r="114" spans="1:4" x14ac:dyDescent="0.2">
      <c r="A114" s="34" t="s">
        <v>53</v>
      </c>
      <c r="B114" s="90" t="s">
        <v>87</v>
      </c>
      <c r="C114" s="90"/>
      <c r="D114" s="14">
        <f>D107</f>
        <v>0</v>
      </c>
    </row>
    <row r="115" spans="1:4" x14ac:dyDescent="0.2">
      <c r="A115" s="89" t="s">
        <v>16</v>
      </c>
      <c r="B115" s="89"/>
      <c r="C115" s="89"/>
      <c r="D115" s="17">
        <f>SUM(D113:D114)</f>
        <v>22.62</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267.69812427272728</v>
      </c>
    </row>
    <row r="133" spans="1:4" x14ac:dyDescent="0.2">
      <c r="A133" s="34" t="s">
        <v>6</v>
      </c>
      <c r="B133" s="31" t="s">
        <v>64</v>
      </c>
      <c r="C133" s="9">
        <v>6.7900000000000002E-2</v>
      </c>
      <c r="D133" s="13">
        <f>(D152+D132)*C133</f>
        <v>321.12174660675453</v>
      </c>
    </row>
    <row r="134" spans="1:4" x14ac:dyDescent="0.2">
      <c r="A134" s="34" t="s">
        <v>8</v>
      </c>
      <c r="B134" s="31" t="s">
        <v>65</v>
      </c>
      <c r="C134" s="12">
        <f>SUM(C135:C140)</f>
        <v>8.6499999999999994E-2</v>
      </c>
      <c r="D134" s="13">
        <f>(D152+D132+D133)*C134/(1-C134)</f>
        <v>478.23139718035793</v>
      </c>
    </row>
    <row r="135" spans="1:4" x14ac:dyDescent="0.2">
      <c r="A135" s="34"/>
      <c r="B135" s="31" t="s">
        <v>66</v>
      </c>
      <c r="C135" s="9"/>
      <c r="D135" s="14">
        <f>$D$154*C135</f>
        <v>0</v>
      </c>
    </row>
    <row r="136" spans="1:4" x14ac:dyDescent="0.2">
      <c r="A136" s="34"/>
      <c r="B136" s="31" t="s">
        <v>96</v>
      </c>
      <c r="C136" s="9">
        <v>6.4999999999999997E-3</v>
      </c>
      <c r="D136" s="14">
        <f t="shared" ref="D136:D140" si="3">$D$154*C136</f>
        <v>35.936463371934408</v>
      </c>
    </row>
    <row r="137" spans="1:4" x14ac:dyDescent="0.2">
      <c r="A137" s="34"/>
      <c r="B137" s="31" t="s">
        <v>97</v>
      </c>
      <c r="C137" s="9">
        <v>0.03</v>
      </c>
      <c r="D137" s="14">
        <f t="shared" si="3"/>
        <v>165.86060017815882</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276.43433363026469</v>
      </c>
    </row>
    <row r="141" spans="1:4" ht="13.5" x14ac:dyDescent="0.2">
      <c r="A141" s="85" t="s">
        <v>36</v>
      </c>
      <c r="B141" s="97"/>
      <c r="C141" s="19">
        <f>(1+C133)*(1+C132)/(1-C134)-1</f>
        <v>0.2391614668856048</v>
      </c>
      <c r="D141" s="17">
        <f>SUM(D132:D134)</f>
        <v>1067.0512680598399</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2250.3140045454543</v>
      </c>
    </row>
    <row r="148" spans="1:4" x14ac:dyDescent="0.2">
      <c r="A148" s="32" t="s">
        <v>6</v>
      </c>
      <c r="B148" s="90" t="s">
        <v>17</v>
      </c>
      <c r="C148" s="90"/>
      <c r="D148" s="20">
        <f>D73</f>
        <v>1723.9414000000002</v>
      </c>
    </row>
    <row r="149" spans="1:4" x14ac:dyDescent="0.2">
      <c r="A149" s="32" t="s">
        <v>8</v>
      </c>
      <c r="B149" s="90" t="s">
        <v>44</v>
      </c>
      <c r="C149" s="90"/>
      <c r="D149" s="20">
        <f>D85</f>
        <v>138.58000000000001</v>
      </c>
    </row>
    <row r="150" spans="1:4" x14ac:dyDescent="0.2">
      <c r="A150" s="32" t="s">
        <v>10</v>
      </c>
      <c r="B150" s="90" t="s">
        <v>51</v>
      </c>
      <c r="C150" s="90"/>
      <c r="D150" s="20">
        <f>D115</f>
        <v>22.62</v>
      </c>
    </row>
    <row r="151" spans="1:4" x14ac:dyDescent="0.2">
      <c r="A151" s="32" t="s">
        <v>12</v>
      </c>
      <c r="B151" s="90" t="s">
        <v>56</v>
      </c>
      <c r="C151" s="90"/>
      <c r="D151" s="20">
        <f>D126</f>
        <v>326.17999999999995</v>
      </c>
    </row>
    <row r="152" spans="1:4" x14ac:dyDescent="0.2">
      <c r="A152" s="89" t="s">
        <v>95</v>
      </c>
      <c r="B152" s="89"/>
      <c r="C152" s="89"/>
      <c r="D152" s="21">
        <f>SUM(D147:D151)</f>
        <v>4461.6354045454545</v>
      </c>
    </row>
    <row r="153" spans="1:4" x14ac:dyDescent="0.2">
      <c r="A153" s="32" t="s">
        <v>31</v>
      </c>
      <c r="B153" s="90" t="s">
        <v>71</v>
      </c>
      <c r="C153" s="90"/>
      <c r="D153" s="22">
        <f>D141</f>
        <v>1067.0512680598399</v>
      </c>
    </row>
    <row r="154" spans="1:4" x14ac:dyDescent="0.2">
      <c r="A154" s="89" t="s">
        <v>72</v>
      </c>
      <c r="B154" s="89"/>
      <c r="C154" s="89"/>
      <c r="D154" s="21">
        <f>SUM(D152:D153)</f>
        <v>5528.686672605294</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BreakPreview" topLeftCell="A4" zoomScaleNormal="115" zoomScaleSheetLayoutView="100" workbookViewId="0">
      <selection activeCell="E29" sqref="E29"/>
    </sheetView>
  </sheetViews>
  <sheetFormatPr defaultRowHeight="12.75" x14ac:dyDescent="0.2"/>
  <cols>
    <col min="1" max="1" width="25.7109375" style="1" customWidth="1"/>
    <col min="2" max="9" width="12.7109375" style="1" customWidth="1"/>
    <col min="10" max="11" width="10.7109375" style="1" customWidth="1"/>
    <col min="12" max="16384" width="9.140625" style="1"/>
  </cols>
  <sheetData>
    <row r="1" spans="1:9" x14ac:dyDescent="0.2">
      <c r="A1" s="42" t="s">
        <v>125</v>
      </c>
    </row>
    <row r="2" spans="1:9" x14ac:dyDescent="0.2">
      <c r="A2" s="1" t="s">
        <v>124</v>
      </c>
    </row>
    <row r="4" spans="1:9" x14ac:dyDescent="0.2">
      <c r="A4" s="42" t="s">
        <v>127</v>
      </c>
      <c r="B4" s="111" t="s">
        <v>126</v>
      </c>
      <c r="C4" s="111"/>
      <c r="D4" s="111"/>
      <c r="E4" s="111"/>
      <c r="F4" s="111"/>
      <c r="G4" s="111"/>
      <c r="H4" s="112" t="s">
        <v>137</v>
      </c>
      <c r="I4" s="112"/>
    </row>
    <row r="5" spans="1:9" s="4" customFormat="1" ht="80.099999999999994" customHeight="1" x14ac:dyDescent="0.25">
      <c r="A5" s="61" t="s">
        <v>128</v>
      </c>
      <c r="B5" s="108" t="str">
        <f>superv44!A6</f>
        <v>VIGILÂNCIA ARMADA DIURNA - Vigilante Supervisor, com jornada de 44 horas semanais, TRAJE SOCIAL</v>
      </c>
      <c r="C5" s="109"/>
      <c r="D5" s="109" t="str">
        <f>vig44ssasoc!A6</f>
        <v>VIGILÂNCIA ARMADA DIURNA - jornada de 44 horas semanais, TRAJE SOCIAL</v>
      </c>
      <c r="E5" s="109"/>
      <c r="F5" s="109" t="str">
        <f>vig44ssatat!A6</f>
        <v>VIGILÂNCIA ARMADA DIURNA - jornada de 44 horas semanais, FARDAMENTO TÁTICO</v>
      </c>
      <c r="G5" s="109"/>
      <c r="H5" s="110" t="str">
        <f>vig44int!A6</f>
        <v>VIGILÂNCIA ARMADA DIURNA - jornada de 44 horas semanais, FARDAMENTO TÁTICO</v>
      </c>
      <c r="I5" s="110"/>
    </row>
    <row r="6" spans="1:9" x14ac:dyDescent="0.2">
      <c r="A6" s="62" t="s">
        <v>129</v>
      </c>
      <c r="B6" s="52"/>
      <c r="C6" s="54">
        <f>superv44!D26</f>
        <v>2474.6579999999999</v>
      </c>
      <c r="D6" s="52"/>
      <c r="E6" s="54">
        <f>vig44ssasoc!D26</f>
        <v>1787.2529999999999</v>
      </c>
      <c r="F6" s="52"/>
      <c r="G6" s="54">
        <f>vig44ssatat!D26</f>
        <v>1787.2529999999999</v>
      </c>
      <c r="H6" s="46"/>
      <c r="I6" s="47">
        <f>vig44int!D26</f>
        <v>1787.2529999999999</v>
      </c>
    </row>
    <row r="7" spans="1:9" x14ac:dyDescent="0.2">
      <c r="A7" s="62" t="s">
        <v>130</v>
      </c>
      <c r="B7" s="55">
        <f>superv44!C51</f>
        <v>0.36800000000000005</v>
      </c>
      <c r="C7" s="54">
        <f>ROUND(C6*B7,2)</f>
        <v>910.67</v>
      </c>
      <c r="D7" s="55">
        <f>vig44ssasoc!C51</f>
        <v>0.36800000000000005</v>
      </c>
      <c r="E7" s="54">
        <f>ROUND(E6*D7,2)</f>
        <v>657.71</v>
      </c>
      <c r="F7" s="55">
        <f>vig44ssatat!C51</f>
        <v>0.36800000000000005</v>
      </c>
      <c r="G7" s="54">
        <f>ROUND(G6*F7,2)</f>
        <v>657.71</v>
      </c>
      <c r="H7" s="48">
        <f>vig44int!C51</f>
        <v>0.36800000000000005</v>
      </c>
      <c r="I7" s="47">
        <f>ROUND(I6*H7,2)</f>
        <v>657.71</v>
      </c>
    </row>
    <row r="8" spans="1:9" x14ac:dyDescent="0.2">
      <c r="A8" s="62" t="s">
        <v>131</v>
      </c>
      <c r="B8" s="55">
        <f>superv44!C141</f>
        <v>0.2391614668856048</v>
      </c>
      <c r="C8" s="54">
        <f>ROUND((C6+C7)*B8,2)</f>
        <v>809.64</v>
      </c>
      <c r="D8" s="55">
        <f>vig44ssasoc!C141</f>
        <v>0.2391614668856048</v>
      </c>
      <c r="E8" s="54">
        <f>ROUND((E6+E7)*D8,2)</f>
        <v>584.74</v>
      </c>
      <c r="F8" s="55">
        <f>vig44ssatat!C141</f>
        <v>0.2391614668856048</v>
      </c>
      <c r="G8" s="54">
        <f>ROUND((G6+G7)*F8,2)</f>
        <v>584.74</v>
      </c>
      <c r="H8" s="48">
        <f>vig44int!C141</f>
        <v>0.2391614668856048</v>
      </c>
      <c r="I8" s="47">
        <f>ROUND((I6+I7)*H8,2)</f>
        <v>584.74</v>
      </c>
    </row>
    <row r="9" spans="1:9" x14ac:dyDescent="0.2">
      <c r="A9" s="62" t="s">
        <v>132</v>
      </c>
      <c r="B9" s="52"/>
      <c r="C9" s="54">
        <f>SUM(C6:C8)</f>
        <v>4194.9679999999998</v>
      </c>
      <c r="D9" s="52"/>
      <c r="E9" s="54">
        <f>SUM(E6:E8)</f>
        <v>3029.7029999999995</v>
      </c>
      <c r="F9" s="52"/>
      <c r="G9" s="54">
        <f>SUM(G6:G8)</f>
        <v>3029.7029999999995</v>
      </c>
      <c r="H9" s="46"/>
      <c r="I9" s="47">
        <f>SUM(I6:I8)</f>
        <v>3029.7029999999995</v>
      </c>
    </row>
    <row r="10" spans="1:9" x14ac:dyDescent="0.2">
      <c r="A10" s="62" t="s">
        <v>133</v>
      </c>
      <c r="B10" s="52"/>
      <c r="C10" s="54">
        <f>ROUND(C9/220,2)</f>
        <v>19.07</v>
      </c>
      <c r="D10" s="52"/>
      <c r="E10" s="54">
        <f>ROUND(E9/220,2)</f>
        <v>13.77</v>
      </c>
      <c r="F10" s="52"/>
      <c r="G10" s="54">
        <f>ROUND(G9/220,2)</f>
        <v>13.77</v>
      </c>
      <c r="H10" s="46"/>
      <c r="I10" s="47">
        <f>ROUND(I9/220,2)</f>
        <v>13.77</v>
      </c>
    </row>
    <row r="11" spans="1:9" x14ac:dyDescent="0.2">
      <c r="A11" s="62" t="s">
        <v>134</v>
      </c>
      <c r="B11" s="56">
        <v>0.5</v>
      </c>
      <c r="C11" s="57">
        <f>ROUND(C10*(1+B11),2)</f>
        <v>28.61</v>
      </c>
      <c r="D11" s="56">
        <v>0.5</v>
      </c>
      <c r="E11" s="57">
        <f>ROUND(E10*(1+D11),2)</f>
        <v>20.66</v>
      </c>
      <c r="F11" s="56">
        <v>0.5</v>
      </c>
      <c r="G11" s="57">
        <f>ROUND(G10*(1+F11),2)</f>
        <v>20.66</v>
      </c>
      <c r="H11" s="49">
        <v>0.5</v>
      </c>
      <c r="I11" s="58">
        <f>ROUND(I10*(1+H11),2)</f>
        <v>20.66</v>
      </c>
    </row>
    <row r="12" spans="1:9" x14ac:dyDescent="0.2">
      <c r="A12" s="62" t="s">
        <v>135</v>
      </c>
      <c r="B12" s="56">
        <v>0.5</v>
      </c>
      <c r="C12" s="57">
        <f>ROUND(C10*(1+B12),2)</f>
        <v>28.61</v>
      </c>
      <c r="D12" s="56">
        <v>0.5</v>
      </c>
      <c r="E12" s="57">
        <f>ROUND(E10*(1+D12),2)</f>
        <v>20.66</v>
      </c>
      <c r="F12" s="56">
        <v>0.5</v>
      </c>
      <c r="G12" s="57">
        <f>ROUND(G10*(1+F12),2)</f>
        <v>20.66</v>
      </c>
      <c r="H12" s="49">
        <v>0.5</v>
      </c>
      <c r="I12" s="58">
        <f>ROUND(I10*(1+H12),2)</f>
        <v>20.66</v>
      </c>
    </row>
    <row r="13" spans="1:9" x14ac:dyDescent="0.2">
      <c r="A13" s="62" t="s">
        <v>136</v>
      </c>
      <c r="B13" s="56">
        <v>1</v>
      </c>
      <c r="C13" s="57">
        <f>ROUND(C10*(1+B13),2)</f>
        <v>38.14</v>
      </c>
      <c r="D13" s="56">
        <v>1</v>
      </c>
      <c r="E13" s="57">
        <f>ROUND(E10*(1+D13),2)</f>
        <v>27.54</v>
      </c>
      <c r="F13" s="56">
        <v>1</v>
      </c>
      <c r="G13" s="57">
        <f>ROUND(G10*(1+F13),2)</f>
        <v>27.54</v>
      </c>
      <c r="H13" s="49">
        <v>1</v>
      </c>
      <c r="I13" s="58">
        <f>ROUND(I10*(1+H13),2)</f>
        <v>27.54</v>
      </c>
    </row>
    <row r="15" spans="1:9" x14ac:dyDescent="0.2">
      <c r="A15" s="42" t="s">
        <v>138</v>
      </c>
      <c r="B15" s="111" t="s">
        <v>126</v>
      </c>
      <c r="C15" s="111"/>
      <c r="D15" s="111"/>
      <c r="E15" s="111"/>
      <c r="F15" s="111"/>
      <c r="G15" s="111"/>
      <c r="H15" s="112" t="s">
        <v>137</v>
      </c>
      <c r="I15" s="112"/>
    </row>
    <row r="16" spans="1:9" ht="80.099999999999994" customHeight="1" x14ac:dyDescent="0.2">
      <c r="A16" s="43" t="s">
        <v>128</v>
      </c>
      <c r="B16" s="108" t="str">
        <f>superv44!A6</f>
        <v>VIGILÂNCIA ARMADA DIURNA - Vigilante Supervisor, com jornada de 44 horas semanais, TRAJE SOCIAL</v>
      </c>
      <c r="C16" s="109"/>
      <c r="D16" s="109" t="str">
        <f>vig44ssasoc!A6</f>
        <v>VIGILÂNCIA ARMADA DIURNA - jornada de 44 horas semanais, TRAJE SOCIAL</v>
      </c>
      <c r="E16" s="109"/>
      <c r="F16" s="109" t="str">
        <f>vig44ssatat!A6</f>
        <v>VIGILÂNCIA ARMADA DIURNA - jornada de 44 horas semanais, FARDAMENTO TÁTICO</v>
      </c>
      <c r="G16" s="109"/>
      <c r="H16" s="110" t="str">
        <f>vig44int!A6</f>
        <v>VIGILÂNCIA ARMADA DIURNA - jornada de 44 horas semanais, FARDAMENTO TÁTICO</v>
      </c>
      <c r="I16" s="110"/>
    </row>
    <row r="17" spans="1:11" x14ac:dyDescent="0.2">
      <c r="A17" s="44" t="s">
        <v>139</v>
      </c>
      <c r="B17" s="52">
        <v>20</v>
      </c>
      <c r="C17" s="54">
        <f>C11*B17</f>
        <v>572.20000000000005</v>
      </c>
      <c r="D17" s="52">
        <v>80</v>
      </c>
      <c r="E17" s="54">
        <f>E11*D17</f>
        <v>1652.8</v>
      </c>
      <c r="F17" s="52">
        <v>20</v>
      </c>
      <c r="G17" s="54">
        <f>G11*F17</f>
        <v>413.2</v>
      </c>
      <c r="H17" s="46">
        <v>0</v>
      </c>
      <c r="I17" s="47">
        <f>I11*H17</f>
        <v>0</v>
      </c>
    </row>
    <row r="18" spans="1:11" x14ac:dyDescent="0.2">
      <c r="A18" s="44" t="s">
        <v>140</v>
      </c>
      <c r="B18" s="52">
        <v>40</v>
      </c>
      <c r="C18" s="54">
        <f t="shared" ref="C18:E19" si="0">C12*B18</f>
        <v>1144.4000000000001</v>
      </c>
      <c r="D18" s="52">
        <v>160</v>
      </c>
      <c r="E18" s="54">
        <f t="shared" si="0"/>
        <v>3305.6</v>
      </c>
      <c r="F18" s="52">
        <v>40</v>
      </c>
      <c r="G18" s="54">
        <f t="shared" ref="G18:I18" si="1">G12*F18</f>
        <v>826.4</v>
      </c>
      <c r="H18" s="46">
        <v>0</v>
      </c>
      <c r="I18" s="47">
        <f t="shared" si="1"/>
        <v>0</v>
      </c>
    </row>
    <row r="19" spans="1:11" x14ac:dyDescent="0.2">
      <c r="A19" s="44" t="s">
        <v>141</v>
      </c>
      <c r="B19" s="52">
        <v>90</v>
      </c>
      <c r="C19" s="54">
        <f t="shared" si="0"/>
        <v>3432.6</v>
      </c>
      <c r="D19" s="52">
        <v>360</v>
      </c>
      <c r="E19" s="54">
        <f t="shared" si="0"/>
        <v>9914.4</v>
      </c>
      <c r="F19" s="52">
        <v>90</v>
      </c>
      <c r="G19" s="54">
        <f t="shared" ref="G19:I19" si="2">G13*F19</f>
        <v>2478.6</v>
      </c>
      <c r="H19" s="46">
        <v>3080</v>
      </c>
      <c r="I19" s="47">
        <f t="shared" si="2"/>
        <v>84823.2</v>
      </c>
    </row>
    <row r="20" spans="1:11" x14ac:dyDescent="0.2">
      <c r="A20" s="44" t="s">
        <v>143</v>
      </c>
      <c r="B20" s="52"/>
      <c r="C20" s="57">
        <f>SUM(C17:C19)</f>
        <v>5149.2</v>
      </c>
      <c r="D20" s="59"/>
      <c r="E20" s="57">
        <f>SUM(E17:E19)</f>
        <v>14872.8</v>
      </c>
      <c r="F20" s="59"/>
      <c r="G20" s="57">
        <f>SUM(G17:G19)</f>
        <v>3718.2</v>
      </c>
      <c r="H20" s="51"/>
      <c r="I20" s="58">
        <f>SUM(I17:I19)</f>
        <v>84823.2</v>
      </c>
    </row>
    <row r="22" spans="1:11" x14ac:dyDescent="0.2">
      <c r="A22" s="42" t="s">
        <v>142</v>
      </c>
      <c r="B22" s="111" t="s">
        <v>126</v>
      </c>
      <c r="C22" s="111"/>
      <c r="D22" s="111"/>
      <c r="E22" s="111"/>
      <c r="F22" s="111"/>
      <c r="G22" s="111"/>
      <c r="H22" s="112" t="s">
        <v>137</v>
      </c>
      <c r="I22" s="112"/>
    </row>
    <row r="23" spans="1:11" ht="80.099999999999994" customHeight="1" x14ac:dyDescent="0.2">
      <c r="A23" s="43" t="s">
        <v>128</v>
      </c>
      <c r="B23" s="108" t="str">
        <f>superv44!A6</f>
        <v>VIGILÂNCIA ARMADA DIURNA - Vigilante Supervisor, com jornada de 44 horas semanais, TRAJE SOCIAL</v>
      </c>
      <c r="C23" s="109"/>
      <c r="D23" s="109" t="str">
        <f>vig44ssasoc!A6</f>
        <v>VIGILÂNCIA ARMADA DIURNA - jornada de 44 horas semanais, TRAJE SOCIAL</v>
      </c>
      <c r="E23" s="109"/>
      <c r="F23" s="109" t="str">
        <f>vig44ssatat!A6</f>
        <v>VIGILÂNCIA ARMADA DIURNA - jornada de 44 horas semanais, FARDAMENTO TÁTICO</v>
      </c>
      <c r="G23" s="109"/>
      <c r="H23" s="110" t="str">
        <f>vig44int!A6</f>
        <v>VIGILÂNCIA ARMADA DIURNA - jornada de 44 horas semanais, FARDAMENTO TÁTICO</v>
      </c>
      <c r="I23" s="110"/>
    </row>
    <row r="24" spans="1:11" x14ac:dyDescent="0.2">
      <c r="A24" s="44" t="s">
        <v>144</v>
      </c>
      <c r="B24" s="52"/>
      <c r="C24" s="54">
        <v>4.9000000000000004</v>
      </c>
      <c r="D24" s="52"/>
      <c r="E24" s="54">
        <v>4.9000000000000004</v>
      </c>
      <c r="F24" s="52"/>
      <c r="G24" s="54">
        <v>4.9000000000000004</v>
      </c>
      <c r="H24" s="46"/>
      <c r="I24" s="47">
        <v>3.92</v>
      </c>
      <c r="K24" s="42"/>
    </row>
    <row r="25" spans="1:11" x14ac:dyDescent="0.2">
      <c r="A25" s="44" t="s">
        <v>145</v>
      </c>
      <c r="B25" s="52">
        <v>2</v>
      </c>
      <c r="C25" s="54">
        <f>C24*B25</f>
        <v>9.8000000000000007</v>
      </c>
      <c r="D25" s="52">
        <v>2</v>
      </c>
      <c r="E25" s="54">
        <f>E24*D25</f>
        <v>9.8000000000000007</v>
      </c>
      <c r="F25" s="52">
        <v>2</v>
      </c>
      <c r="G25" s="54">
        <f>G24*F25</f>
        <v>9.8000000000000007</v>
      </c>
      <c r="H25" s="46">
        <v>2</v>
      </c>
      <c r="I25" s="47">
        <f>I24*H25</f>
        <v>7.84</v>
      </c>
    </row>
    <row r="26" spans="1:11" x14ac:dyDescent="0.2">
      <c r="A26" s="44" t="s">
        <v>131</v>
      </c>
      <c r="B26" s="55">
        <f>superv44!C141</f>
        <v>0.2391614668856048</v>
      </c>
      <c r="C26" s="54">
        <f>ROUND(C25*B26,2)</f>
        <v>2.34</v>
      </c>
      <c r="D26" s="55">
        <f>vig44ssasoc!C141</f>
        <v>0.2391614668856048</v>
      </c>
      <c r="E26" s="54">
        <f>ROUND(E25*D26,2)</f>
        <v>2.34</v>
      </c>
      <c r="F26" s="55">
        <f>vig44ssatat!C141</f>
        <v>0.2391614668856048</v>
      </c>
      <c r="G26" s="54">
        <f>ROUND(G25*F26,2)</f>
        <v>2.34</v>
      </c>
      <c r="H26" s="48">
        <f>vig44int!C141</f>
        <v>0.2391614668856048</v>
      </c>
      <c r="I26" s="47">
        <f>ROUND(I25*H26,2)</f>
        <v>1.88</v>
      </c>
    </row>
    <row r="27" spans="1:11" x14ac:dyDescent="0.2">
      <c r="A27" s="44" t="s">
        <v>132</v>
      </c>
      <c r="B27" s="52"/>
      <c r="C27" s="54">
        <f>SUM(C25:C26)</f>
        <v>12.14</v>
      </c>
      <c r="D27" s="52"/>
      <c r="E27" s="54">
        <f>SUM(E25:E26)</f>
        <v>12.14</v>
      </c>
      <c r="F27" s="52"/>
      <c r="G27" s="54">
        <f>SUM(G25:G26)</f>
        <v>12.14</v>
      </c>
      <c r="H27" s="46"/>
      <c r="I27" s="47">
        <f>SUM(I25:I26)</f>
        <v>9.7199999999999989</v>
      </c>
    </row>
    <row r="28" spans="1:11" x14ac:dyDescent="0.2">
      <c r="A28" s="44" t="s">
        <v>146</v>
      </c>
      <c r="B28" s="52">
        <v>4</v>
      </c>
      <c r="C28" s="54">
        <f>C27*B28</f>
        <v>48.56</v>
      </c>
      <c r="D28" s="52">
        <v>4</v>
      </c>
      <c r="E28" s="54">
        <f>E27*D28</f>
        <v>48.56</v>
      </c>
      <c r="F28" s="52">
        <v>4</v>
      </c>
      <c r="G28" s="54">
        <f>G27*F28</f>
        <v>48.56</v>
      </c>
      <c r="H28" s="46">
        <v>0</v>
      </c>
      <c r="I28" s="47">
        <f>I27*H28</f>
        <v>0</v>
      </c>
    </row>
    <row r="29" spans="1:11" x14ac:dyDescent="0.2">
      <c r="A29" s="44" t="s">
        <v>147</v>
      </c>
      <c r="B29" s="52">
        <v>9</v>
      </c>
      <c r="C29" s="54">
        <f>C27*B29</f>
        <v>109.26</v>
      </c>
      <c r="D29" s="52">
        <v>9</v>
      </c>
      <c r="E29" s="54">
        <f>E27*D29</f>
        <v>109.26</v>
      </c>
      <c r="F29" s="52">
        <v>9</v>
      </c>
      <c r="G29" s="54">
        <f>G27*F29</f>
        <v>109.26</v>
      </c>
      <c r="H29" s="46">
        <v>7</v>
      </c>
      <c r="I29" s="47">
        <f>I27*H29</f>
        <v>68.039999999999992</v>
      </c>
    </row>
    <row r="30" spans="1:11" x14ac:dyDescent="0.2">
      <c r="A30" s="44" t="s">
        <v>152</v>
      </c>
      <c r="B30" s="52"/>
      <c r="C30" s="54">
        <f>SUM(C28:C29)</f>
        <v>157.82</v>
      </c>
      <c r="D30" s="52"/>
      <c r="E30" s="54">
        <f>SUM(E28:E29)</f>
        <v>157.82</v>
      </c>
      <c r="F30" s="52"/>
      <c r="G30" s="54">
        <f>SUM(G28:G29)</f>
        <v>157.82</v>
      </c>
      <c r="H30" s="46"/>
      <c r="I30" s="47">
        <f>SUM(I28:I29)</f>
        <v>68.039999999999992</v>
      </c>
    </row>
    <row r="31" spans="1:11" x14ac:dyDescent="0.2">
      <c r="A31" s="44" t="s">
        <v>154</v>
      </c>
      <c r="B31" s="52">
        <v>1</v>
      </c>
      <c r="C31" s="57">
        <f>C30*B31</f>
        <v>157.82</v>
      </c>
      <c r="D31" s="52">
        <v>4</v>
      </c>
      <c r="E31" s="57">
        <f>E30*D31</f>
        <v>631.28</v>
      </c>
      <c r="F31" s="52">
        <v>1</v>
      </c>
      <c r="G31" s="57">
        <f>G30*F31</f>
        <v>157.82</v>
      </c>
      <c r="H31" s="46">
        <v>44</v>
      </c>
      <c r="I31" s="58">
        <f>I30*H31</f>
        <v>2993.7599999999998</v>
      </c>
    </row>
    <row r="33" spans="1:9" x14ac:dyDescent="0.2">
      <c r="A33" s="42" t="s">
        <v>148</v>
      </c>
      <c r="B33" s="103" t="s">
        <v>126</v>
      </c>
      <c r="C33" s="104"/>
      <c r="D33" s="104"/>
      <c r="E33" s="104"/>
      <c r="F33" s="104"/>
      <c r="G33" s="105"/>
      <c r="H33" s="106" t="s">
        <v>137</v>
      </c>
      <c r="I33" s="107"/>
    </row>
    <row r="34" spans="1:9" ht="80.099999999999994" customHeight="1" x14ac:dyDescent="0.2">
      <c r="A34" s="43" t="s">
        <v>128</v>
      </c>
      <c r="B34" s="109" t="str">
        <f>superv44!A6</f>
        <v>VIGILÂNCIA ARMADA DIURNA - Vigilante Supervisor, com jornada de 44 horas semanais, TRAJE SOCIAL</v>
      </c>
      <c r="C34" s="109"/>
      <c r="D34" s="109" t="str">
        <f>vig44ssasoc!A6</f>
        <v>VIGILÂNCIA ARMADA DIURNA - jornada de 44 horas semanais, TRAJE SOCIAL</v>
      </c>
      <c r="E34" s="109"/>
      <c r="F34" s="109" t="str">
        <f>vig44ssatat!A6</f>
        <v>VIGILÂNCIA ARMADA DIURNA - jornada de 44 horas semanais, FARDAMENTO TÁTICO</v>
      </c>
      <c r="G34" s="109"/>
      <c r="H34" s="110" t="str">
        <f>vig44int!A6</f>
        <v>VIGILÂNCIA ARMADA DIURNA - jornada de 44 horas semanais, FARDAMENTO TÁTICO</v>
      </c>
      <c r="I34" s="110"/>
    </row>
    <row r="35" spans="1:9" x14ac:dyDescent="0.2">
      <c r="A35" s="45" t="s">
        <v>149</v>
      </c>
      <c r="B35" s="52"/>
      <c r="C35" s="54">
        <f>16*0.85</f>
        <v>13.6</v>
      </c>
      <c r="D35" s="52"/>
      <c r="E35" s="54">
        <f>16*0.85</f>
        <v>13.6</v>
      </c>
      <c r="F35" s="52"/>
      <c r="G35" s="54">
        <f>16*0.85</f>
        <v>13.6</v>
      </c>
      <c r="H35" s="46"/>
      <c r="I35" s="47">
        <f>16*0.85</f>
        <v>13.6</v>
      </c>
    </row>
    <row r="36" spans="1:9" x14ac:dyDescent="0.2">
      <c r="A36" s="44" t="s">
        <v>131</v>
      </c>
      <c r="B36" s="55">
        <f>superv44!C141</f>
        <v>0.2391614668856048</v>
      </c>
      <c r="C36" s="54">
        <f>ROUND(C35*B36,2)</f>
        <v>3.25</v>
      </c>
      <c r="D36" s="55">
        <f>vig44ssasoc!C141</f>
        <v>0.2391614668856048</v>
      </c>
      <c r="E36" s="54">
        <f>ROUND(E35*D36,2)</f>
        <v>3.25</v>
      </c>
      <c r="F36" s="55">
        <f>vig44ssatat!C141</f>
        <v>0.2391614668856048</v>
      </c>
      <c r="G36" s="54">
        <f>ROUND(G35*F36,2)</f>
        <v>3.25</v>
      </c>
      <c r="H36" s="48">
        <f>vig44int!C141</f>
        <v>0.2391614668856048</v>
      </c>
      <c r="I36" s="47">
        <f>ROUND(I35*H36,2)</f>
        <v>3.25</v>
      </c>
    </row>
    <row r="37" spans="1:9" x14ac:dyDescent="0.2">
      <c r="A37" s="44" t="s">
        <v>132</v>
      </c>
      <c r="B37" s="52"/>
      <c r="C37" s="54">
        <f>SUM(C35:C36)</f>
        <v>16.850000000000001</v>
      </c>
      <c r="D37" s="52"/>
      <c r="E37" s="54">
        <f>SUM(E35:E36)</f>
        <v>16.850000000000001</v>
      </c>
      <c r="F37" s="52"/>
      <c r="G37" s="54">
        <f>SUM(G35:G36)</f>
        <v>16.850000000000001</v>
      </c>
      <c r="H37" s="46"/>
      <c r="I37" s="47">
        <f>SUM(I35:I36)</f>
        <v>16.850000000000001</v>
      </c>
    </row>
    <row r="38" spans="1:9" x14ac:dyDescent="0.2">
      <c r="A38" s="44" t="s">
        <v>150</v>
      </c>
      <c r="B38" s="52">
        <v>4</v>
      </c>
      <c r="C38" s="54">
        <f>C37*B38</f>
        <v>67.400000000000006</v>
      </c>
      <c r="D38" s="52">
        <v>4</v>
      </c>
      <c r="E38" s="54">
        <f>E37*D38</f>
        <v>67.400000000000006</v>
      </c>
      <c r="F38" s="52">
        <v>4</v>
      </c>
      <c r="G38" s="54">
        <f>G37*F38</f>
        <v>67.400000000000006</v>
      </c>
      <c r="H38" s="46">
        <v>0</v>
      </c>
      <c r="I38" s="47">
        <f>I37*H38</f>
        <v>0</v>
      </c>
    </row>
    <row r="39" spans="1:9" x14ac:dyDescent="0.2">
      <c r="A39" s="44" t="s">
        <v>151</v>
      </c>
      <c r="B39" s="52">
        <v>9</v>
      </c>
      <c r="C39" s="54">
        <f>C37*B39</f>
        <v>151.65</v>
      </c>
      <c r="D39" s="52">
        <v>9</v>
      </c>
      <c r="E39" s="54">
        <f>E37*D39</f>
        <v>151.65</v>
      </c>
      <c r="F39" s="52">
        <v>9</v>
      </c>
      <c r="G39" s="54">
        <f>G37*F39</f>
        <v>151.65</v>
      </c>
      <c r="H39" s="46">
        <v>7</v>
      </c>
      <c r="I39" s="47">
        <f>I37*H39</f>
        <v>117.95000000000002</v>
      </c>
    </row>
    <row r="40" spans="1:9" x14ac:dyDescent="0.2">
      <c r="A40" s="44" t="s">
        <v>153</v>
      </c>
      <c r="B40" s="52"/>
      <c r="C40" s="54">
        <f>SUM(C38:C39)</f>
        <v>219.05</v>
      </c>
      <c r="D40" s="52"/>
      <c r="E40" s="54">
        <f>SUM(E38:E39)</f>
        <v>219.05</v>
      </c>
      <c r="F40" s="52"/>
      <c r="G40" s="54">
        <f>SUM(G38:G39)</f>
        <v>219.05</v>
      </c>
      <c r="H40" s="46"/>
      <c r="I40" s="47">
        <f>SUM(I38:I39)</f>
        <v>117.95000000000002</v>
      </c>
    </row>
    <row r="41" spans="1:9" x14ac:dyDescent="0.2">
      <c r="A41" s="44" t="s">
        <v>155</v>
      </c>
      <c r="B41" s="52">
        <v>1</v>
      </c>
      <c r="C41" s="57">
        <f>C40*B41</f>
        <v>219.05</v>
      </c>
      <c r="D41" s="52">
        <v>4</v>
      </c>
      <c r="E41" s="57">
        <f>E40*D41</f>
        <v>876.2</v>
      </c>
      <c r="F41" s="52">
        <v>1</v>
      </c>
      <c r="G41" s="57">
        <f>G40*F41</f>
        <v>219.05</v>
      </c>
      <c r="H41" s="46">
        <v>44</v>
      </c>
      <c r="I41" s="58">
        <f>I40*H41</f>
        <v>5189.8000000000011</v>
      </c>
    </row>
    <row r="43" spans="1:9" x14ac:dyDescent="0.2">
      <c r="A43" s="42" t="s">
        <v>159</v>
      </c>
      <c r="B43" s="111" t="s">
        <v>126</v>
      </c>
      <c r="C43" s="111"/>
      <c r="D43" s="111"/>
      <c r="E43" s="112" t="s">
        <v>137</v>
      </c>
      <c r="F43" s="112"/>
      <c r="G43" s="112"/>
      <c r="H43" s="113" t="s">
        <v>16</v>
      </c>
      <c r="I43" s="113"/>
    </row>
    <row r="44" spans="1:9" x14ac:dyDescent="0.2">
      <c r="A44" s="44" t="s">
        <v>156</v>
      </c>
      <c r="B44" s="114">
        <f>SUM(C20,E20,G20)</f>
        <v>23740.2</v>
      </c>
      <c r="C44" s="115"/>
      <c r="D44" s="115"/>
      <c r="E44" s="116">
        <f>I20</f>
        <v>84823.2</v>
      </c>
      <c r="F44" s="117"/>
      <c r="G44" s="117"/>
      <c r="H44" s="118">
        <f>SUM(B44:G44)</f>
        <v>108563.4</v>
      </c>
      <c r="I44" s="119"/>
    </row>
    <row r="45" spans="1:9" x14ac:dyDescent="0.2">
      <c r="A45" s="44" t="s">
        <v>157</v>
      </c>
      <c r="B45" s="114">
        <f>SUM(C31,E31,G31)</f>
        <v>946.91999999999985</v>
      </c>
      <c r="C45" s="115"/>
      <c r="D45" s="115"/>
      <c r="E45" s="116">
        <f>I31</f>
        <v>2993.7599999999998</v>
      </c>
      <c r="F45" s="117"/>
      <c r="G45" s="117"/>
      <c r="H45" s="118">
        <f t="shared" ref="H45:H46" si="3">SUM(B45:G45)</f>
        <v>3940.6799999999994</v>
      </c>
      <c r="I45" s="119"/>
    </row>
    <row r="46" spans="1:9" x14ac:dyDescent="0.2">
      <c r="A46" s="44" t="s">
        <v>158</v>
      </c>
      <c r="B46" s="114">
        <f>SUM(C41,E41,G41)</f>
        <v>1314.3</v>
      </c>
      <c r="C46" s="115"/>
      <c r="D46" s="115"/>
      <c r="E46" s="116">
        <f>I41</f>
        <v>5189.8000000000011</v>
      </c>
      <c r="F46" s="117"/>
      <c r="G46" s="117"/>
      <c r="H46" s="118">
        <f t="shared" si="3"/>
        <v>6504.1000000000013</v>
      </c>
      <c r="I46" s="119"/>
    </row>
    <row r="47" spans="1:9" ht="15" customHeight="1" x14ac:dyDescent="0.2">
      <c r="A47" s="60" t="s">
        <v>16</v>
      </c>
      <c r="B47" s="52"/>
      <c r="C47" s="53"/>
      <c r="D47" s="57">
        <f>SUM(B44:D46)</f>
        <v>26001.42</v>
      </c>
      <c r="E47" s="46"/>
      <c r="F47" s="50"/>
      <c r="G47" s="58">
        <f>SUM(E44:G46)</f>
        <v>93006.76</v>
      </c>
      <c r="H47" s="120">
        <f>SUM(H44:I46)</f>
        <v>119008.18</v>
      </c>
      <c r="I47" s="121"/>
    </row>
  </sheetData>
  <mergeCells count="37">
    <mergeCell ref="B46:D46"/>
    <mergeCell ref="E46:G46"/>
    <mergeCell ref="H46:I46"/>
    <mergeCell ref="H47:I47"/>
    <mergeCell ref="B44:D44"/>
    <mergeCell ref="E44:G44"/>
    <mergeCell ref="H44:I44"/>
    <mergeCell ref="B45:D45"/>
    <mergeCell ref="E45:G45"/>
    <mergeCell ref="H45:I45"/>
    <mergeCell ref="H4:I4"/>
    <mergeCell ref="B4:G4"/>
    <mergeCell ref="B43:D43"/>
    <mergeCell ref="E43:G43"/>
    <mergeCell ref="H43:I43"/>
    <mergeCell ref="B15:G15"/>
    <mergeCell ref="H15:I15"/>
    <mergeCell ref="B5:C5"/>
    <mergeCell ref="D5:E5"/>
    <mergeCell ref="F5:G5"/>
    <mergeCell ref="H5:I5"/>
    <mergeCell ref="B34:C34"/>
    <mergeCell ref="D34:E34"/>
    <mergeCell ref="F34:G34"/>
    <mergeCell ref="H34:I34"/>
    <mergeCell ref="B16:C16"/>
    <mergeCell ref="D16:E16"/>
    <mergeCell ref="F16:G16"/>
    <mergeCell ref="H16:I16"/>
    <mergeCell ref="B22:G22"/>
    <mergeCell ref="H22:I22"/>
    <mergeCell ref="B33:G33"/>
    <mergeCell ref="H33:I33"/>
    <mergeCell ref="B23:C23"/>
    <mergeCell ref="D23:E23"/>
    <mergeCell ref="F23:G23"/>
    <mergeCell ref="H23:I23"/>
  </mergeCells>
  <pageMargins left="0.51181102362204722" right="0.51181102362204722" top="0.78740157480314965" bottom="0.78740157480314965" header="0.31496062992125984" footer="0.31496062992125984"/>
  <pageSetup paperSize="9" orientation="landscape" r:id="rId1"/>
  <rowBreaks count="1" manualBreakCount="1">
    <brk id="2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H65"/>
  <sheetViews>
    <sheetView view="pageBreakPreview" topLeftCell="A25" zoomScaleNormal="115" zoomScaleSheetLayoutView="100" workbookViewId="0">
      <selection activeCell="G46" sqref="G46"/>
    </sheetView>
  </sheetViews>
  <sheetFormatPr defaultRowHeight="12.75" x14ac:dyDescent="0.2"/>
  <cols>
    <col min="1" max="1" width="10.7109375" style="1" customWidth="1"/>
    <col min="2" max="2" width="30.7109375" style="1" customWidth="1"/>
    <col min="3" max="3" width="15.7109375" style="1" customWidth="1"/>
    <col min="4" max="4" width="10.7109375" style="1" customWidth="1"/>
    <col min="5" max="5" width="15.7109375" style="1" customWidth="1"/>
    <col min="6" max="6" width="10.7109375" style="1" customWidth="1"/>
    <col min="7" max="8" width="15.7109375" style="1" customWidth="1"/>
    <col min="9" max="16384" width="9.140625" style="1"/>
  </cols>
  <sheetData>
    <row r="8" spans="1:8" ht="15.75" x14ac:dyDescent="0.25">
      <c r="A8" s="126" t="s">
        <v>189</v>
      </c>
      <c r="B8" s="126"/>
      <c r="C8" s="126"/>
      <c r="D8" s="126"/>
      <c r="E8" s="126"/>
      <c r="F8" s="126"/>
      <c r="G8" s="126"/>
      <c r="H8" s="126"/>
    </row>
    <row r="10" spans="1:8" x14ac:dyDescent="0.2">
      <c r="A10" s="123" t="s">
        <v>169</v>
      </c>
      <c r="B10" s="123"/>
      <c r="C10" s="123"/>
      <c r="D10" s="123"/>
      <c r="E10" s="123"/>
      <c r="F10" s="123"/>
      <c r="G10" s="123"/>
      <c r="H10" s="123"/>
    </row>
    <row r="11" spans="1:8" s="40" customFormat="1" ht="25.5" x14ac:dyDescent="0.25">
      <c r="A11" s="78" t="s">
        <v>160</v>
      </c>
      <c r="B11" s="78" t="s">
        <v>161</v>
      </c>
      <c r="C11" s="78" t="s">
        <v>162</v>
      </c>
      <c r="D11" s="78" t="s">
        <v>163</v>
      </c>
      <c r="E11" s="78" t="s">
        <v>164</v>
      </c>
      <c r="F11" s="78" t="s">
        <v>165</v>
      </c>
      <c r="G11" s="78" t="s">
        <v>166</v>
      </c>
      <c r="H11" s="78" t="s">
        <v>167</v>
      </c>
    </row>
    <row r="12" spans="1:8" ht="38.25" x14ac:dyDescent="0.2">
      <c r="A12" s="75">
        <v>1</v>
      </c>
      <c r="B12" s="75" t="str">
        <f>superv44!A6</f>
        <v>VIGILÂNCIA ARMADA DIURNA - Vigilante Supervisor, com jornada de 44 horas semanais, TRAJE SOCIAL</v>
      </c>
      <c r="C12" s="76">
        <f>superv44!D154</f>
        <v>6212.3370048993975</v>
      </c>
      <c r="D12" s="75">
        <v>1</v>
      </c>
      <c r="E12" s="76">
        <f>C12*D12</f>
        <v>6212.3370048993975</v>
      </c>
      <c r="F12" s="75">
        <f>superv44!D6</f>
        <v>1</v>
      </c>
      <c r="G12" s="76">
        <f>E12*F12</f>
        <v>6212.3370048993975</v>
      </c>
      <c r="H12" s="76">
        <f>G12*12</f>
        <v>74548.044058792773</v>
      </c>
    </row>
    <row r="13" spans="1:8" ht="38.25" x14ac:dyDescent="0.2">
      <c r="A13" s="75">
        <v>2</v>
      </c>
      <c r="B13" s="75" t="str">
        <f>fiscal1236d!A6</f>
        <v>VIGILÂNCIA ARMADA DIURNA - Vigilante Fiscal, 12:00h x 36:00h, TRAJE SOCIAL</v>
      </c>
      <c r="C13" s="76">
        <f>fiscal1236d!D154</f>
        <v>5578.4420977718655</v>
      </c>
      <c r="D13" s="75">
        <v>2</v>
      </c>
      <c r="E13" s="76">
        <f>C13*D13</f>
        <v>11156.884195543731</v>
      </c>
      <c r="F13" s="75">
        <f>fiscal1236d!D6</f>
        <v>1</v>
      </c>
      <c r="G13" s="76">
        <f t="shared" ref="G13:G18" si="0">E13*F13</f>
        <v>11156.884195543731</v>
      </c>
      <c r="H13" s="76">
        <f t="shared" ref="H13:H18" si="1">G13*12</f>
        <v>133882.61034652477</v>
      </c>
    </row>
    <row r="14" spans="1:8" ht="38.25" x14ac:dyDescent="0.2">
      <c r="A14" s="75">
        <v>3</v>
      </c>
      <c r="B14" s="75" t="str">
        <f>fiscal1236n!A6</f>
        <v>VIGILÂNCIA ARMADA NOTURNA - Vigilante Fiscal, 12:00h x 36:00h, TRAJE SOCIAL</v>
      </c>
      <c r="C14" s="76">
        <f>fiscal1236n!D154</f>
        <v>6625.0019426534609</v>
      </c>
      <c r="D14" s="75">
        <v>2</v>
      </c>
      <c r="E14" s="76">
        <f t="shared" ref="E14:E18" si="2">C14*D14</f>
        <v>13250.003885306922</v>
      </c>
      <c r="F14" s="75">
        <f>fiscal1236n!D6</f>
        <v>1</v>
      </c>
      <c r="G14" s="76">
        <f t="shared" si="0"/>
        <v>13250.003885306922</v>
      </c>
      <c r="H14" s="76">
        <f t="shared" si="1"/>
        <v>159000.04662368307</v>
      </c>
    </row>
    <row r="15" spans="1:8" ht="38.25" x14ac:dyDescent="0.2">
      <c r="A15" s="75">
        <v>4</v>
      </c>
      <c r="B15" s="75" t="str">
        <f>vig44ssasoc!A6</f>
        <v>VIGILÂNCIA ARMADA DIURNA - jornada de 44 horas semanais, TRAJE SOCIAL</v>
      </c>
      <c r="C15" s="76">
        <f>vig44ssasoc!D154</f>
        <v>4755.7088963827036</v>
      </c>
      <c r="D15" s="75">
        <v>1</v>
      </c>
      <c r="E15" s="76">
        <f t="shared" si="2"/>
        <v>4755.7088963827036</v>
      </c>
      <c r="F15" s="75">
        <f>vig44ssasoc!D6</f>
        <v>4</v>
      </c>
      <c r="G15" s="76">
        <f t="shared" si="0"/>
        <v>19022.835585530815</v>
      </c>
      <c r="H15" s="76">
        <f t="shared" si="1"/>
        <v>228274.02702636976</v>
      </c>
    </row>
    <row r="16" spans="1:8" ht="38.25" x14ac:dyDescent="0.2">
      <c r="A16" s="75">
        <v>5</v>
      </c>
      <c r="B16" s="75" t="str">
        <f>vig44ssatat!A6</f>
        <v>VIGILÂNCIA ARMADA DIURNA - jornada de 44 horas semanais, FARDAMENTO TÁTICO</v>
      </c>
      <c r="C16" s="76">
        <f>vig44ssatat!D154</f>
        <v>4812.7227154741104</v>
      </c>
      <c r="D16" s="75">
        <v>1</v>
      </c>
      <c r="E16" s="76">
        <f t="shared" si="2"/>
        <v>4812.7227154741104</v>
      </c>
      <c r="F16" s="75">
        <f>vig44ssatat!D6</f>
        <v>1</v>
      </c>
      <c r="G16" s="76">
        <f t="shared" si="0"/>
        <v>4812.7227154741104</v>
      </c>
      <c r="H16" s="76">
        <f t="shared" si="1"/>
        <v>57752.672585689324</v>
      </c>
    </row>
    <row r="17" spans="1:8" ht="38.25" x14ac:dyDescent="0.2">
      <c r="A17" s="75">
        <v>6</v>
      </c>
      <c r="B17" s="75" t="str">
        <f>vig1236dssa!A6</f>
        <v>VIGILÂNCIA ARMADA DIURNA - 12:00h x 36:00h, FARDAMENTO TÁTICO</v>
      </c>
      <c r="C17" s="76">
        <f>vig1236dssa!D154</f>
        <v>4620.4296390428026</v>
      </c>
      <c r="D17" s="75">
        <v>2</v>
      </c>
      <c r="E17" s="76">
        <f t="shared" si="2"/>
        <v>9240.8592780856052</v>
      </c>
      <c r="F17" s="75">
        <f>vig1236dssa!D6</f>
        <v>9</v>
      </c>
      <c r="G17" s="76">
        <f t="shared" si="0"/>
        <v>83167.733502770454</v>
      </c>
      <c r="H17" s="76">
        <f t="shared" si="1"/>
        <v>998012.80203324545</v>
      </c>
    </row>
    <row r="18" spans="1:8" ht="38.25" x14ac:dyDescent="0.2">
      <c r="A18" s="75">
        <v>7</v>
      </c>
      <c r="B18" s="75" t="str">
        <f>vig1236nssa!A6</f>
        <v>VIGILÂNCIA ARMADA NOTURNA - 12:00h x 36:00h, FARDAMENTO TÁTICO</v>
      </c>
      <c r="C18" s="76">
        <f>vig1236nssa!D154</f>
        <v>5651.5743152763398</v>
      </c>
      <c r="D18" s="75">
        <v>2</v>
      </c>
      <c r="E18" s="76">
        <f t="shared" si="2"/>
        <v>11303.14863055268</v>
      </c>
      <c r="F18" s="75">
        <f>vig1236nssa!D6</f>
        <v>6</v>
      </c>
      <c r="G18" s="76">
        <f t="shared" si="0"/>
        <v>67818.891783316081</v>
      </c>
      <c r="H18" s="76">
        <f t="shared" si="1"/>
        <v>813826.70139979292</v>
      </c>
    </row>
    <row r="19" spans="1:8" x14ac:dyDescent="0.2">
      <c r="A19" s="110" t="s">
        <v>16</v>
      </c>
      <c r="B19" s="110"/>
      <c r="C19" s="110"/>
      <c r="D19" s="110"/>
      <c r="E19" s="110"/>
      <c r="F19" s="110"/>
      <c r="G19" s="110"/>
      <c r="H19" s="76">
        <f>SUM(H12:H18)</f>
        <v>2465296.904074098</v>
      </c>
    </row>
    <row r="20" spans="1:8" x14ac:dyDescent="0.2">
      <c r="A20" s="40"/>
      <c r="B20" s="40"/>
      <c r="C20" s="40"/>
      <c r="D20" s="40"/>
      <c r="E20" s="40"/>
      <c r="F20" s="40"/>
      <c r="G20" s="40"/>
      <c r="H20" s="40"/>
    </row>
    <row r="21" spans="1:8" ht="52.5" customHeight="1" x14ac:dyDescent="0.2">
      <c r="A21" s="124" t="s">
        <v>168</v>
      </c>
      <c r="B21" s="124"/>
      <c r="C21" s="124"/>
      <c r="D21" s="124"/>
      <c r="E21" s="124"/>
      <c r="F21" s="124"/>
      <c r="G21" s="124"/>
      <c r="H21" s="124"/>
    </row>
    <row r="22" spans="1:8" ht="25.5" x14ac:dyDescent="0.2">
      <c r="A22" s="78" t="s">
        <v>160</v>
      </c>
      <c r="B22" s="78" t="s">
        <v>161</v>
      </c>
      <c r="C22" s="78" t="s">
        <v>162</v>
      </c>
      <c r="D22" s="78" t="s">
        <v>163</v>
      </c>
      <c r="E22" s="78" t="s">
        <v>164</v>
      </c>
      <c r="F22" s="78" t="s">
        <v>165</v>
      </c>
      <c r="G22" s="78" t="s">
        <v>166</v>
      </c>
      <c r="H22" s="78" t="s">
        <v>167</v>
      </c>
    </row>
    <row r="23" spans="1:8" ht="38.25" x14ac:dyDescent="0.2">
      <c r="A23" s="75">
        <v>8</v>
      </c>
      <c r="B23" s="75" t="str">
        <f>vig44int!A6</f>
        <v>VIGILÂNCIA ARMADA DIURNA - jornada de 44 horas semanais, FARDAMENTO TÁTICO</v>
      </c>
      <c r="C23" s="76">
        <f>vig44int!D154</f>
        <v>4758.2615690044877</v>
      </c>
      <c r="D23" s="75">
        <v>1</v>
      </c>
      <c r="E23" s="76">
        <f>C23*D23</f>
        <v>4758.2615690044877</v>
      </c>
      <c r="F23" s="75">
        <f>vig44int!D6</f>
        <v>43</v>
      </c>
      <c r="G23" s="76">
        <f>E23*F23</f>
        <v>204605.24746719297</v>
      </c>
      <c r="H23" s="76">
        <f>G23*12</f>
        <v>2455262.9696063157</v>
      </c>
    </row>
    <row r="24" spans="1:8" x14ac:dyDescent="0.2">
      <c r="A24" s="124" t="s">
        <v>194</v>
      </c>
      <c r="B24" s="124"/>
      <c r="C24" s="124"/>
      <c r="D24" s="124"/>
      <c r="E24" s="124"/>
      <c r="F24" s="124"/>
      <c r="G24" s="124"/>
      <c r="H24" s="124"/>
    </row>
    <row r="25" spans="1:8" ht="25.5" x14ac:dyDescent="0.2">
      <c r="A25" s="78" t="s">
        <v>160</v>
      </c>
      <c r="B25" s="78" t="s">
        <v>161</v>
      </c>
      <c r="C25" s="78" t="s">
        <v>162</v>
      </c>
      <c r="D25" s="78" t="s">
        <v>163</v>
      </c>
      <c r="E25" s="78" t="s">
        <v>164</v>
      </c>
      <c r="F25" s="78" t="s">
        <v>165</v>
      </c>
      <c r="G25" s="78" t="s">
        <v>166</v>
      </c>
      <c r="H25" s="78" t="s">
        <v>167</v>
      </c>
    </row>
    <row r="26" spans="1:8" ht="38.25" x14ac:dyDescent="0.2">
      <c r="A26" s="75">
        <v>9</v>
      </c>
      <c r="B26" s="75" t="str">
        <f>vig1236nint!A6</f>
        <v>VIGILÂNCIA ARMADA NOTURNA - 12:00h x 36:00h, FARDAMENTO TÁTICO</v>
      </c>
      <c r="C26" s="76">
        <f>vig1236nint!D154</f>
        <v>5614.4490377284474</v>
      </c>
      <c r="D26" s="75">
        <v>2</v>
      </c>
      <c r="E26" s="76">
        <f>C26*D26</f>
        <v>11228.898075456895</v>
      </c>
      <c r="F26" s="75">
        <f>vig1236nint!D6</f>
        <v>3</v>
      </c>
      <c r="G26" s="76">
        <f t="shared" ref="G26:G29" si="3">E26*F26</f>
        <v>33686.694226370688</v>
      </c>
      <c r="H26" s="76">
        <f t="shared" ref="H26:H29" si="4">G26*12</f>
        <v>404240.33071644825</v>
      </c>
    </row>
    <row r="27" spans="1:8" x14ac:dyDescent="0.2">
      <c r="A27" s="124" t="s">
        <v>195</v>
      </c>
      <c r="B27" s="124"/>
      <c r="C27" s="124"/>
      <c r="D27" s="124"/>
      <c r="E27" s="124"/>
      <c r="F27" s="124"/>
      <c r="G27" s="124"/>
      <c r="H27" s="124"/>
    </row>
    <row r="28" spans="1:8" ht="25.5" x14ac:dyDescent="0.2">
      <c r="A28" s="78" t="s">
        <v>160</v>
      </c>
      <c r="B28" s="78" t="s">
        <v>161</v>
      </c>
      <c r="C28" s="78" t="s">
        <v>162</v>
      </c>
      <c r="D28" s="78" t="s">
        <v>163</v>
      </c>
      <c r="E28" s="78" t="s">
        <v>164</v>
      </c>
      <c r="F28" s="78" t="s">
        <v>165</v>
      </c>
      <c r="G28" s="78" t="s">
        <v>166</v>
      </c>
      <c r="H28" s="78" t="s">
        <v>167</v>
      </c>
    </row>
    <row r="29" spans="1:8" ht="38.25" x14ac:dyDescent="0.2">
      <c r="A29" s="75">
        <v>10</v>
      </c>
      <c r="B29" s="75" t="str">
        <f>vig1236dint!A6</f>
        <v>VIGILÂNCIA ARMADA DIURNA - 12:00h x 36:00h, FARDAMENTO TÁTICO</v>
      </c>
      <c r="C29" s="76">
        <f>vig1236dint!D154</f>
        <v>4583.2919698802398</v>
      </c>
      <c r="D29" s="75">
        <v>2</v>
      </c>
      <c r="E29" s="76">
        <f t="shared" ref="E29" si="5">C29*D29</f>
        <v>9166.5839397604796</v>
      </c>
      <c r="F29" s="75">
        <f>vig1236dint!D6</f>
        <v>2</v>
      </c>
      <c r="G29" s="76">
        <f t="shared" si="3"/>
        <v>18333.167879520959</v>
      </c>
      <c r="H29" s="76">
        <f t="shared" si="4"/>
        <v>219998.01455425151</v>
      </c>
    </row>
    <row r="30" spans="1:8" x14ac:dyDescent="0.2">
      <c r="A30" s="110" t="s">
        <v>16</v>
      </c>
      <c r="B30" s="110"/>
      <c r="C30" s="110"/>
      <c r="D30" s="110"/>
      <c r="E30" s="110"/>
      <c r="F30" s="110"/>
      <c r="G30" s="110"/>
      <c r="H30" s="76">
        <f>SUM(H23,H26,H29)</f>
        <v>3079501.3148770155</v>
      </c>
    </row>
    <row r="31" spans="1:8" x14ac:dyDescent="0.2">
      <c r="A31" s="40"/>
      <c r="B31" s="40"/>
      <c r="C31" s="40"/>
      <c r="D31" s="40"/>
      <c r="E31" s="40"/>
      <c r="F31" s="40"/>
      <c r="G31" s="40"/>
      <c r="H31" s="40"/>
    </row>
    <row r="32" spans="1:8" x14ac:dyDescent="0.2">
      <c r="A32" s="125" t="s">
        <v>170</v>
      </c>
      <c r="B32" s="125"/>
      <c r="C32" s="125"/>
      <c r="D32" s="125"/>
      <c r="E32" s="125"/>
      <c r="F32" s="125"/>
      <c r="G32" s="125"/>
      <c r="H32" s="125"/>
    </row>
    <row r="33" spans="1:8" ht="25.5" x14ac:dyDescent="0.2">
      <c r="A33" s="78" t="s">
        <v>160</v>
      </c>
      <c r="B33" s="78" t="s">
        <v>161</v>
      </c>
      <c r="C33" s="78" t="s">
        <v>162</v>
      </c>
      <c r="D33" s="78" t="s">
        <v>163</v>
      </c>
      <c r="E33" s="78" t="s">
        <v>164</v>
      </c>
      <c r="F33" s="78" t="s">
        <v>165</v>
      </c>
      <c r="G33" s="78" t="s">
        <v>166</v>
      </c>
      <c r="H33" s="78" t="s">
        <v>171</v>
      </c>
    </row>
    <row r="34" spans="1:8" ht="51" x14ac:dyDescent="0.2">
      <c r="A34" s="75">
        <v>11</v>
      </c>
      <c r="B34" s="75" t="str">
        <f>vig44ssatat_ad!A6</f>
        <v>VIGILÂNCIA ARMADA DIURNA - jornada de 44 horas semanais, FARDAMENTO TÁTICO - postos adicionais, Capital</v>
      </c>
      <c r="C34" s="76">
        <f>vig44ssatat_ad!D154</f>
        <v>4742.8959668151065</v>
      </c>
      <c r="D34" s="75">
        <v>1</v>
      </c>
      <c r="E34" s="76">
        <f t="shared" ref="E34" si="6">C34*D34</f>
        <v>4742.8959668151065</v>
      </c>
      <c r="F34" s="75">
        <v>4</v>
      </c>
      <c r="G34" s="76">
        <f t="shared" ref="G34" si="7">E34*F34</f>
        <v>18971.583867260426</v>
      </c>
      <c r="H34" s="76">
        <f>((G34*12)*(10/365))</f>
        <v>6237.2330522500024</v>
      </c>
    </row>
    <row r="35" spans="1:8" x14ac:dyDescent="0.2">
      <c r="A35" s="40"/>
      <c r="B35" s="40"/>
      <c r="C35" s="40"/>
      <c r="D35" s="40"/>
      <c r="E35" s="40"/>
      <c r="F35" s="40"/>
      <c r="G35" s="40"/>
      <c r="H35" s="63"/>
    </row>
    <row r="36" spans="1:8" x14ac:dyDescent="0.2">
      <c r="A36" s="125" t="s">
        <v>172</v>
      </c>
      <c r="B36" s="125"/>
      <c r="C36" s="125"/>
      <c r="D36" s="125"/>
      <c r="E36" s="125"/>
      <c r="F36" s="125"/>
      <c r="G36" s="125"/>
      <c r="H36" s="125"/>
    </row>
    <row r="37" spans="1:8" ht="25.5" x14ac:dyDescent="0.2">
      <c r="A37" s="78" t="s">
        <v>160</v>
      </c>
      <c r="B37" s="78" t="s">
        <v>161</v>
      </c>
      <c r="C37" s="78" t="s">
        <v>162</v>
      </c>
      <c r="D37" s="78" t="s">
        <v>163</v>
      </c>
      <c r="E37" s="78" t="s">
        <v>164</v>
      </c>
      <c r="F37" s="78" t="s">
        <v>165</v>
      </c>
      <c r="G37" s="78" t="s">
        <v>166</v>
      </c>
      <c r="H37" s="78" t="s">
        <v>173</v>
      </c>
    </row>
    <row r="38" spans="1:8" ht="51" x14ac:dyDescent="0.2">
      <c r="A38" s="75">
        <v>12</v>
      </c>
      <c r="B38" s="75" t="str">
        <f>vig44ssatat_ad!A6</f>
        <v>VIGILÂNCIA ARMADA DIURNA - jornada de 44 horas semanais, FARDAMENTO TÁTICO - postos adicionais, Capital</v>
      </c>
      <c r="C38" s="76">
        <f>vig44ssatat_ad!D154</f>
        <v>4742.8959668151065</v>
      </c>
      <c r="D38" s="75">
        <v>1</v>
      </c>
      <c r="E38" s="76">
        <f t="shared" ref="E38" si="8">C38*D38</f>
        <v>4742.8959668151065</v>
      </c>
      <c r="F38" s="75">
        <v>6</v>
      </c>
      <c r="G38" s="76">
        <f t="shared" ref="G38" si="9">E38*F38</f>
        <v>28457.375800890637</v>
      </c>
      <c r="H38" s="76">
        <f>((G38*12)*(53/365))</f>
        <v>49586.002765387515</v>
      </c>
    </row>
    <row r="39" spans="1:8" x14ac:dyDescent="0.2">
      <c r="A39" s="40"/>
      <c r="B39" s="40"/>
      <c r="C39" s="40"/>
      <c r="D39" s="40"/>
      <c r="E39" s="40"/>
      <c r="F39" s="40"/>
      <c r="G39" s="40"/>
      <c r="H39" s="40"/>
    </row>
    <row r="40" spans="1:8" x14ac:dyDescent="0.2">
      <c r="A40" s="125" t="s">
        <v>174</v>
      </c>
      <c r="B40" s="125"/>
      <c r="C40" s="125"/>
      <c r="D40" s="125"/>
      <c r="E40" s="125"/>
      <c r="F40" s="125"/>
      <c r="G40" s="125"/>
      <c r="H40" s="125"/>
    </row>
    <row r="41" spans="1:8" ht="25.5" x14ac:dyDescent="0.2">
      <c r="A41" s="78" t="s">
        <v>160</v>
      </c>
      <c r="B41" s="78" t="s">
        <v>161</v>
      </c>
      <c r="C41" s="78" t="s">
        <v>162</v>
      </c>
      <c r="D41" s="78" t="s">
        <v>163</v>
      </c>
      <c r="E41" s="78" t="s">
        <v>164</v>
      </c>
      <c r="F41" s="78" t="s">
        <v>165</v>
      </c>
      <c r="G41" s="78" t="s">
        <v>166</v>
      </c>
      <c r="H41" s="78" t="s">
        <v>171</v>
      </c>
    </row>
    <row r="42" spans="1:8" ht="51" x14ac:dyDescent="0.2">
      <c r="A42" s="75">
        <v>13</v>
      </c>
      <c r="B42" s="75" t="str">
        <f>vig44int_ad!A6</f>
        <v>VIGILÂNCIA ARMADA DIURNA - jornada de 44 horas semanais, FARDAMENTO TÁTICO - postos adicionais, Interior</v>
      </c>
      <c r="C42" s="76">
        <f>vig44int_ad!D154</f>
        <v>4689.1659256109469</v>
      </c>
      <c r="D42" s="75">
        <v>1</v>
      </c>
      <c r="E42" s="76">
        <f t="shared" ref="E42" si="10">C42*D42</f>
        <v>4689.1659256109469</v>
      </c>
      <c r="F42" s="75">
        <v>44</v>
      </c>
      <c r="G42" s="76">
        <f t="shared" ref="G42" si="11">E42*F42</f>
        <v>206323.30072688166</v>
      </c>
      <c r="H42" s="76">
        <f>((G42*12)*(10/365))</f>
        <v>67832.318047193956</v>
      </c>
    </row>
    <row r="43" spans="1:8" x14ac:dyDescent="0.2">
      <c r="A43" s="40"/>
      <c r="B43" s="40"/>
      <c r="C43" s="40"/>
      <c r="D43" s="40"/>
      <c r="E43" s="40"/>
      <c r="F43" s="40"/>
      <c r="G43" s="40"/>
      <c r="H43" s="40"/>
    </row>
    <row r="44" spans="1:8" x14ac:dyDescent="0.2">
      <c r="A44" s="125" t="s">
        <v>175</v>
      </c>
      <c r="B44" s="125"/>
      <c r="C44" s="125"/>
      <c r="D44" s="125"/>
      <c r="E44" s="125"/>
      <c r="F44" s="125"/>
      <c r="G44" s="125"/>
      <c r="H44" s="125"/>
    </row>
    <row r="45" spans="1:8" ht="25.5" x14ac:dyDescent="0.2">
      <c r="A45" s="78" t="s">
        <v>160</v>
      </c>
      <c r="B45" s="78" t="s">
        <v>161</v>
      </c>
      <c r="C45" s="78" t="s">
        <v>162</v>
      </c>
      <c r="D45" s="78" t="s">
        <v>163</v>
      </c>
      <c r="E45" s="78" t="s">
        <v>164</v>
      </c>
      <c r="F45" s="78" t="s">
        <v>165</v>
      </c>
      <c r="G45" s="78" t="s">
        <v>166</v>
      </c>
      <c r="H45" s="78" t="s">
        <v>176</v>
      </c>
    </row>
    <row r="46" spans="1:8" ht="51" x14ac:dyDescent="0.2">
      <c r="A46" s="75">
        <v>14</v>
      </c>
      <c r="B46" s="75" t="str">
        <f>vig44int_ad!A6</f>
        <v>VIGILÂNCIA ARMADA DIURNA - jornada de 44 horas semanais, FARDAMENTO TÁTICO - postos adicionais, Interior</v>
      </c>
      <c r="C46" s="76">
        <f>vig44int_ad!D154</f>
        <v>4689.1659256109469</v>
      </c>
      <c r="D46" s="75">
        <v>1</v>
      </c>
      <c r="E46" s="76">
        <f t="shared" ref="E46" si="12">C46*D46</f>
        <v>4689.1659256109469</v>
      </c>
      <c r="F46" s="75">
        <v>44</v>
      </c>
      <c r="G46" s="76">
        <f t="shared" ref="G46" si="13">E46*F46</f>
        <v>206323.30072688166</v>
      </c>
      <c r="H46" s="76">
        <f>((G46*12)*(78/365))</f>
        <v>529092.08076811291</v>
      </c>
    </row>
    <row r="47" spans="1:8" x14ac:dyDescent="0.2">
      <c r="A47" s="40"/>
      <c r="B47" s="40"/>
      <c r="C47" s="40"/>
      <c r="D47" s="40"/>
      <c r="E47" s="40"/>
      <c r="F47" s="40"/>
      <c r="G47" s="40"/>
      <c r="H47" s="40"/>
    </row>
    <row r="48" spans="1:8" ht="25.5" customHeight="1" x14ac:dyDescent="0.2">
      <c r="A48" s="125" t="s">
        <v>177</v>
      </c>
      <c r="B48" s="125"/>
      <c r="C48" s="125"/>
      <c r="D48" s="125"/>
      <c r="E48" s="125"/>
      <c r="F48" s="125"/>
      <c r="G48" s="125"/>
      <c r="H48" s="125"/>
    </row>
    <row r="49" spans="1:8" ht="25.5" x14ac:dyDescent="0.2">
      <c r="A49" s="78" t="s">
        <v>160</v>
      </c>
      <c r="B49" s="78" t="s">
        <v>161</v>
      </c>
      <c r="C49" s="78" t="s">
        <v>162</v>
      </c>
      <c r="D49" s="78" t="s">
        <v>163</v>
      </c>
      <c r="E49" s="78" t="s">
        <v>164</v>
      </c>
      <c r="F49" s="78" t="s">
        <v>165</v>
      </c>
      <c r="G49" s="78" t="s">
        <v>166</v>
      </c>
      <c r="H49" s="78" t="s">
        <v>178</v>
      </c>
    </row>
    <row r="50" spans="1:8" ht="38.25" x14ac:dyDescent="0.2">
      <c r="A50" s="75">
        <v>15</v>
      </c>
      <c r="B50" s="75" t="str">
        <f>vig1236dint_ad!A6</f>
        <v>VIGILÂNCIA ARMADA DIURNA - 12:00h x 36:00h, FARDAMENTO TÁTICO - postos adicionais, Interior</v>
      </c>
      <c r="C50" s="76">
        <f>vig1236dint_ad!D154</f>
        <v>4502.1640686432402</v>
      </c>
      <c r="D50" s="75">
        <v>2</v>
      </c>
      <c r="E50" s="76">
        <f t="shared" ref="E50" si="14">C50*D50</f>
        <v>9004.3281372864803</v>
      </c>
      <c r="F50" s="75">
        <v>6</v>
      </c>
      <c r="G50" s="76">
        <f t="shared" ref="G50" si="15">E50*F50</f>
        <v>54025.968823718882</v>
      </c>
      <c r="H50" s="76">
        <f>((G50*12)*(118/365))</f>
        <v>209591.1557654409</v>
      </c>
    </row>
    <row r="51" spans="1:8" ht="38.25" x14ac:dyDescent="0.2">
      <c r="A51" s="75">
        <v>16</v>
      </c>
      <c r="B51" s="75" t="str">
        <f>vig1236nint_ad!A6</f>
        <v>VIGILÂNCIA ARMADA NOTURNA - 12:00h x 36:00h, FARDAMENTO TÁTICO - postos adicionais, Interior</v>
      </c>
      <c r="C51" s="76">
        <f>vig1236nint_ad!D154</f>
        <v>5528.686672605294</v>
      </c>
      <c r="D51" s="75">
        <v>2</v>
      </c>
      <c r="E51" s="76">
        <f t="shared" ref="E51" si="16">C51*D51</f>
        <v>11057.373345210588</v>
      </c>
      <c r="F51" s="75">
        <v>6</v>
      </c>
      <c r="G51" s="76">
        <f t="shared" ref="G51" si="17">E51*F51</f>
        <v>66344.240071263528</v>
      </c>
      <c r="H51" s="76">
        <f>((G51*12)*(118/365))</f>
        <v>257379.29846824429</v>
      </c>
    </row>
    <row r="52" spans="1:8" x14ac:dyDescent="0.2">
      <c r="A52" s="110" t="s">
        <v>16</v>
      </c>
      <c r="B52" s="110"/>
      <c r="C52" s="110"/>
      <c r="D52" s="110"/>
      <c r="E52" s="110"/>
      <c r="F52" s="110"/>
      <c r="G52" s="110"/>
      <c r="H52" s="76">
        <f>SUM(H50:H51)</f>
        <v>466970.45423368516</v>
      </c>
    </row>
    <row r="53" spans="1:8" x14ac:dyDescent="0.2">
      <c r="A53" s="40"/>
      <c r="B53" s="40"/>
      <c r="C53" s="40"/>
      <c r="D53" s="40"/>
      <c r="E53" s="40"/>
      <c r="F53" s="40"/>
      <c r="G53" s="40"/>
      <c r="H53" s="40"/>
    </row>
    <row r="54" spans="1:8" x14ac:dyDescent="0.2">
      <c r="A54" s="130" t="s">
        <v>179</v>
      </c>
      <c r="B54" s="131"/>
      <c r="C54" s="131"/>
      <c r="D54" s="131"/>
      <c r="E54" s="131"/>
      <c r="F54" s="131"/>
      <c r="G54" s="131"/>
      <c r="H54" s="131"/>
    </row>
    <row r="55" spans="1:8" x14ac:dyDescent="0.2">
      <c r="A55" s="113" t="s">
        <v>180</v>
      </c>
      <c r="B55" s="113"/>
      <c r="C55" s="113"/>
      <c r="D55" s="113" t="s">
        <v>138</v>
      </c>
      <c r="E55" s="113"/>
      <c r="F55" s="113"/>
      <c r="G55" s="113"/>
      <c r="H55" s="128" t="s">
        <v>188</v>
      </c>
    </row>
    <row r="56" spans="1:8" x14ac:dyDescent="0.2">
      <c r="A56" s="44" t="s">
        <v>126</v>
      </c>
      <c r="B56" s="44" t="s">
        <v>181</v>
      </c>
      <c r="C56" s="64">
        <f>H19</f>
        <v>2465296.904074098</v>
      </c>
      <c r="D56" s="44" t="s">
        <v>126</v>
      </c>
      <c r="E56" s="122" t="s">
        <v>181</v>
      </c>
      <c r="F56" s="122"/>
      <c r="G56" s="64">
        <f>H19</f>
        <v>2465296.904074098</v>
      </c>
      <c r="H56" s="128"/>
    </row>
    <row r="57" spans="1:8" x14ac:dyDescent="0.2">
      <c r="A57" s="44" t="s">
        <v>137</v>
      </c>
      <c r="B57" s="44" t="s">
        <v>181</v>
      </c>
      <c r="C57" s="64">
        <f>H30</f>
        <v>3079501.3148770155</v>
      </c>
      <c r="D57" s="44" t="s">
        <v>126</v>
      </c>
      <c r="E57" s="122" t="s">
        <v>182</v>
      </c>
      <c r="F57" s="122"/>
      <c r="G57" s="64">
        <f>H34</f>
        <v>6237.2330522500024</v>
      </c>
      <c r="H57" s="128"/>
    </row>
    <row r="58" spans="1:8" x14ac:dyDescent="0.2">
      <c r="A58" s="65"/>
      <c r="B58" s="66"/>
      <c r="C58" s="67"/>
      <c r="D58" s="44" t="s">
        <v>126</v>
      </c>
      <c r="E58" s="122" t="s">
        <v>183</v>
      </c>
      <c r="F58" s="122"/>
      <c r="G58" s="64">
        <f>H38</f>
        <v>49586.002765387515</v>
      </c>
      <c r="H58" s="128"/>
    </row>
    <row r="59" spans="1:8" x14ac:dyDescent="0.2">
      <c r="A59" s="68"/>
      <c r="B59" s="69"/>
      <c r="C59" s="70"/>
      <c r="D59" s="44" t="s">
        <v>126</v>
      </c>
      <c r="E59" s="122" t="s">
        <v>184</v>
      </c>
      <c r="F59" s="122"/>
      <c r="G59" s="64">
        <f>horaextra!D47</f>
        <v>26001.42</v>
      </c>
      <c r="H59" s="128"/>
    </row>
    <row r="60" spans="1:8" x14ac:dyDescent="0.2">
      <c r="A60" s="68"/>
      <c r="B60" s="69"/>
      <c r="C60" s="71"/>
      <c r="D60" s="44" t="s">
        <v>137</v>
      </c>
      <c r="E60" s="122" t="s">
        <v>181</v>
      </c>
      <c r="F60" s="122"/>
      <c r="G60" s="64">
        <f>H30</f>
        <v>3079501.3148770155</v>
      </c>
      <c r="H60" s="128"/>
    </row>
    <row r="61" spans="1:8" x14ac:dyDescent="0.2">
      <c r="A61" s="68"/>
      <c r="B61" s="69"/>
      <c r="C61" s="71"/>
      <c r="D61" s="44" t="s">
        <v>137</v>
      </c>
      <c r="E61" s="122" t="s">
        <v>182</v>
      </c>
      <c r="F61" s="122"/>
      <c r="G61" s="64">
        <f>H42</f>
        <v>67832.318047193956</v>
      </c>
      <c r="H61" s="129">
        <f>C65+G65</f>
        <v>12328322.706768855</v>
      </c>
    </row>
    <row r="62" spans="1:8" x14ac:dyDescent="0.2">
      <c r="A62" s="68"/>
      <c r="B62" s="69"/>
      <c r="C62" s="71"/>
      <c r="D62" s="44" t="s">
        <v>137</v>
      </c>
      <c r="E62" s="122" t="s">
        <v>183</v>
      </c>
      <c r="F62" s="122"/>
      <c r="G62" s="64">
        <f>H46</f>
        <v>529092.08076811291</v>
      </c>
      <c r="H62" s="129"/>
    </row>
    <row r="63" spans="1:8" x14ac:dyDescent="0.2">
      <c r="A63" s="68"/>
      <c r="B63" s="69"/>
      <c r="C63" s="71"/>
      <c r="D63" s="44" t="s">
        <v>137</v>
      </c>
      <c r="E63" s="122" t="s">
        <v>185</v>
      </c>
      <c r="F63" s="122"/>
      <c r="G63" s="64">
        <f>H52</f>
        <v>466970.45423368516</v>
      </c>
      <c r="H63" s="129"/>
    </row>
    <row r="64" spans="1:8" x14ac:dyDescent="0.2">
      <c r="A64" s="72"/>
      <c r="B64" s="73"/>
      <c r="C64" s="74"/>
      <c r="D64" s="44" t="s">
        <v>137</v>
      </c>
      <c r="E64" s="122" t="s">
        <v>184</v>
      </c>
      <c r="F64" s="122"/>
      <c r="G64" s="64">
        <f>horaextra!G47</f>
        <v>93006.76</v>
      </c>
      <c r="H64" s="129"/>
    </row>
    <row r="65" spans="1:8" x14ac:dyDescent="0.2">
      <c r="A65" s="127" t="s">
        <v>187</v>
      </c>
      <c r="B65" s="127"/>
      <c r="C65" s="77">
        <f>SUM(C56:C57)</f>
        <v>5544798.2189511135</v>
      </c>
      <c r="D65" s="127" t="s">
        <v>186</v>
      </c>
      <c r="E65" s="127"/>
      <c r="F65" s="127"/>
      <c r="G65" s="77">
        <f>SUM(G56:G64)</f>
        <v>6783524.4878177429</v>
      </c>
      <c r="H65" s="129"/>
    </row>
  </sheetData>
  <mergeCells count="29">
    <mergeCell ref="A8:H8"/>
    <mergeCell ref="A65:B65"/>
    <mergeCell ref="A55:C55"/>
    <mergeCell ref="D55:G55"/>
    <mergeCell ref="H55:H60"/>
    <mergeCell ref="H61:H65"/>
    <mergeCell ref="A52:G52"/>
    <mergeCell ref="E60:F60"/>
    <mergeCell ref="E61:F61"/>
    <mergeCell ref="E62:F62"/>
    <mergeCell ref="E63:F63"/>
    <mergeCell ref="E64:F64"/>
    <mergeCell ref="D65:F65"/>
    <mergeCell ref="A48:H48"/>
    <mergeCell ref="A54:H54"/>
    <mergeCell ref="E56:F56"/>
    <mergeCell ref="E57:F57"/>
    <mergeCell ref="E58:F58"/>
    <mergeCell ref="E59:F59"/>
    <mergeCell ref="A10:H10"/>
    <mergeCell ref="A21:H21"/>
    <mergeCell ref="A32:H32"/>
    <mergeCell ref="A36:H36"/>
    <mergeCell ref="A40:H40"/>
    <mergeCell ref="A44:H44"/>
    <mergeCell ref="A30:G30"/>
    <mergeCell ref="A19:G19"/>
    <mergeCell ref="A24:H24"/>
    <mergeCell ref="A27:H27"/>
  </mergeCells>
  <printOptions horizontalCentered="1"/>
  <pageMargins left="0.51181102362204722" right="0.51181102362204722" top="0.78740157480314965" bottom="0.78740157480314965" header="0.31496062992125984" footer="0.31496062992125984"/>
  <pageSetup paperSize="9" fitToHeight="0" orientation="landscape" r:id="rId1"/>
  <headerFooter>
    <oddFooter>&amp;L&amp;"Times New Roman,Negrito"Estimativa em &amp;D</oddFooter>
  </headerFooter>
  <rowBreaks count="4" manualBreakCount="4">
    <brk id="19" max="16383" man="1"/>
    <brk id="30" max="16383" man="1"/>
    <brk id="42" max="16383" man="1"/>
    <brk id="5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zoomScale="115" zoomScaleNormal="115" workbookViewId="0">
      <selection activeCell="D124" sqref="D124"/>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27" t="s">
        <v>91</v>
      </c>
      <c r="D5" s="25" t="s">
        <v>92</v>
      </c>
    </row>
    <row r="6" spans="1:4" ht="25.5" customHeight="1" x14ac:dyDescent="0.2">
      <c r="A6" s="85" t="s">
        <v>106</v>
      </c>
      <c r="B6" s="86"/>
      <c r="C6" s="35" t="s">
        <v>100</v>
      </c>
      <c r="D6" s="35">
        <v>1</v>
      </c>
    </row>
    <row r="8" spans="1:4" x14ac:dyDescent="0.2">
      <c r="A8" s="92" t="s">
        <v>73</v>
      </c>
      <c r="B8" s="92"/>
      <c r="C8" s="92"/>
      <c r="D8" s="92"/>
    </row>
    <row r="9" spans="1:4" x14ac:dyDescent="0.2">
      <c r="A9" s="2"/>
      <c r="B9" s="2"/>
      <c r="C9" s="2"/>
      <c r="D9" s="2"/>
    </row>
    <row r="10" spans="1:4" x14ac:dyDescent="0.2">
      <c r="A10" s="5">
        <v>1</v>
      </c>
      <c r="B10" s="5" t="s">
        <v>74</v>
      </c>
      <c r="C10" s="87" t="s">
        <v>107</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28">
        <v>1</v>
      </c>
      <c r="B18" s="89" t="s">
        <v>2</v>
      </c>
      <c r="C18" s="89"/>
      <c r="D18" s="28" t="s">
        <v>3</v>
      </c>
    </row>
    <row r="19" spans="1:4" x14ac:dyDescent="0.2">
      <c r="A19" s="27" t="s">
        <v>4</v>
      </c>
      <c r="B19" s="90" t="s">
        <v>5</v>
      </c>
      <c r="C19" s="90"/>
      <c r="D19" s="13">
        <v>1374.81</v>
      </c>
    </row>
    <row r="20" spans="1:4" x14ac:dyDescent="0.2">
      <c r="A20" s="27" t="s">
        <v>6</v>
      </c>
      <c r="B20" s="90" t="s">
        <v>7</v>
      </c>
      <c r="C20" s="90"/>
      <c r="D20" s="13">
        <f>D19*0.3</f>
        <v>412.44299999999998</v>
      </c>
    </row>
    <row r="21" spans="1:4" x14ac:dyDescent="0.2">
      <c r="A21" s="27" t="s">
        <v>8</v>
      </c>
      <c r="B21" s="90" t="s">
        <v>9</v>
      </c>
      <c r="C21" s="90"/>
      <c r="D21" s="13"/>
    </row>
    <row r="22" spans="1:4" x14ac:dyDescent="0.2">
      <c r="A22" s="27" t="s">
        <v>10</v>
      </c>
      <c r="B22" s="90" t="s">
        <v>11</v>
      </c>
      <c r="C22" s="90"/>
      <c r="D22" s="13"/>
    </row>
    <row r="23" spans="1:4" x14ac:dyDescent="0.2">
      <c r="A23" s="27" t="s">
        <v>12</v>
      </c>
      <c r="B23" s="90" t="s">
        <v>13</v>
      </c>
      <c r="C23" s="90"/>
      <c r="D23" s="13"/>
    </row>
    <row r="24" spans="1:4" x14ac:dyDescent="0.2">
      <c r="A24" s="27" t="s">
        <v>31</v>
      </c>
      <c r="B24" s="90" t="s">
        <v>108</v>
      </c>
      <c r="C24" s="90"/>
      <c r="D24" s="13">
        <f>D19*0.35</f>
        <v>481.18349999999992</v>
      </c>
    </row>
    <row r="25" spans="1:4" x14ac:dyDescent="0.2">
      <c r="A25" s="27" t="s">
        <v>14</v>
      </c>
      <c r="B25" s="90" t="s">
        <v>15</v>
      </c>
      <c r="C25" s="90"/>
      <c r="D25" s="13"/>
    </row>
    <row r="26" spans="1:4" x14ac:dyDescent="0.2">
      <c r="A26" s="89" t="s">
        <v>16</v>
      </c>
      <c r="B26" s="89"/>
      <c r="C26" s="89"/>
      <c r="D26" s="18">
        <f>SUM(D19:D25)</f>
        <v>2268.4364999999998</v>
      </c>
    </row>
    <row r="29" spans="1:4" x14ac:dyDescent="0.2">
      <c r="A29" s="93" t="s">
        <v>17</v>
      </c>
      <c r="B29" s="93"/>
      <c r="C29" s="93"/>
      <c r="D29" s="93"/>
    </row>
    <row r="30" spans="1:4" x14ac:dyDescent="0.2">
      <c r="A30" s="3"/>
    </row>
    <row r="31" spans="1:4" x14ac:dyDescent="0.2">
      <c r="A31" s="99" t="s">
        <v>18</v>
      </c>
      <c r="B31" s="99"/>
      <c r="C31" s="99"/>
      <c r="D31" s="99"/>
    </row>
    <row r="33" spans="1:4" x14ac:dyDescent="0.2">
      <c r="A33" s="28" t="s">
        <v>19</v>
      </c>
      <c r="B33" s="89" t="s">
        <v>20</v>
      </c>
      <c r="C33" s="89"/>
      <c r="D33" s="28" t="s">
        <v>3</v>
      </c>
    </row>
    <row r="34" spans="1:4" x14ac:dyDescent="0.2">
      <c r="A34" s="27" t="s">
        <v>4</v>
      </c>
      <c r="B34" s="29" t="s">
        <v>21</v>
      </c>
      <c r="C34" s="12">
        <f>TRUNC(1/12,4)</f>
        <v>8.3299999999999999E-2</v>
      </c>
      <c r="D34" s="13">
        <f>TRUNC($D$26*C34,2)</f>
        <v>188.96</v>
      </c>
    </row>
    <row r="35" spans="1:4" x14ac:dyDescent="0.2">
      <c r="A35" s="27" t="s">
        <v>6</v>
      </c>
      <c r="B35" s="29" t="s">
        <v>117</v>
      </c>
      <c r="C35" s="12">
        <f>TRUNC(((1)/12),4)</f>
        <v>8.3299999999999999E-2</v>
      </c>
      <c r="D35" s="13">
        <f>TRUNC($D$26*C35,2)</f>
        <v>188.96</v>
      </c>
    </row>
    <row r="36" spans="1:4" x14ac:dyDescent="0.2">
      <c r="A36" s="34" t="s">
        <v>8</v>
      </c>
      <c r="B36" s="31" t="s">
        <v>118</v>
      </c>
      <c r="C36" s="36">
        <f>TRUNC(((1/3)/12),4)</f>
        <v>2.7699999999999999E-2</v>
      </c>
      <c r="D36" s="13">
        <f>TRUNC($D$26*C36,2)</f>
        <v>62.83</v>
      </c>
    </row>
    <row r="37" spans="1:4" x14ac:dyDescent="0.2">
      <c r="A37" s="89" t="s">
        <v>16</v>
      </c>
      <c r="B37" s="89"/>
      <c r="C37" s="26">
        <f>SUM(C34:C36)</f>
        <v>0.1943</v>
      </c>
      <c r="D37" s="17">
        <f>SUM(D34:D36)</f>
        <v>440.75</v>
      </c>
    </row>
    <row r="40" spans="1:4" x14ac:dyDescent="0.2">
      <c r="A40" s="101" t="s">
        <v>22</v>
      </c>
      <c r="B40" s="101"/>
      <c r="C40" s="101"/>
      <c r="D40" s="101"/>
    </row>
    <row r="42" spans="1:4" x14ac:dyDescent="0.2">
      <c r="A42" s="28" t="s">
        <v>23</v>
      </c>
      <c r="B42" s="28" t="s">
        <v>24</v>
      </c>
      <c r="C42" s="28" t="s">
        <v>25</v>
      </c>
      <c r="D42" s="28" t="s">
        <v>3</v>
      </c>
    </row>
    <row r="43" spans="1:4" x14ac:dyDescent="0.2">
      <c r="A43" s="27" t="s">
        <v>4</v>
      </c>
      <c r="B43" s="29" t="s">
        <v>26</v>
      </c>
      <c r="C43" s="9">
        <v>0.2</v>
      </c>
      <c r="D43" s="13">
        <f>TRUNC(($D$26+$D$37)*C43,2)</f>
        <v>541.83000000000004</v>
      </c>
    </row>
    <row r="44" spans="1:4" x14ac:dyDescent="0.2">
      <c r="A44" s="27" t="s">
        <v>6</v>
      </c>
      <c r="B44" s="29" t="s">
        <v>27</v>
      </c>
      <c r="C44" s="9">
        <v>2.5000000000000001E-2</v>
      </c>
      <c r="D44" s="13">
        <f t="shared" ref="D44:D50" si="0">TRUNC(($D$26+$D$37)*C44,2)</f>
        <v>67.72</v>
      </c>
    </row>
    <row r="45" spans="1:4" x14ac:dyDescent="0.2">
      <c r="A45" s="27" t="s">
        <v>8</v>
      </c>
      <c r="B45" s="29" t="s">
        <v>28</v>
      </c>
      <c r="C45" s="16">
        <v>0.03</v>
      </c>
      <c r="D45" s="13">
        <f t="shared" si="0"/>
        <v>81.27</v>
      </c>
    </row>
    <row r="46" spans="1:4" x14ac:dyDescent="0.2">
      <c r="A46" s="27" t="s">
        <v>10</v>
      </c>
      <c r="B46" s="29" t="s">
        <v>29</v>
      </c>
      <c r="C46" s="9">
        <v>1.4999999999999999E-2</v>
      </c>
      <c r="D46" s="13">
        <f t="shared" si="0"/>
        <v>40.630000000000003</v>
      </c>
    </row>
    <row r="47" spans="1:4" x14ac:dyDescent="0.2">
      <c r="A47" s="27" t="s">
        <v>12</v>
      </c>
      <c r="B47" s="29" t="s">
        <v>30</v>
      </c>
      <c r="C47" s="9">
        <v>0.01</v>
      </c>
      <c r="D47" s="13">
        <f t="shared" si="0"/>
        <v>27.09</v>
      </c>
    </row>
    <row r="48" spans="1:4" x14ac:dyDescent="0.2">
      <c r="A48" s="27" t="s">
        <v>31</v>
      </c>
      <c r="B48" s="29" t="s">
        <v>32</v>
      </c>
      <c r="C48" s="9">
        <v>6.0000000000000001E-3</v>
      </c>
      <c r="D48" s="13">
        <f t="shared" si="0"/>
        <v>16.25</v>
      </c>
    </row>
    <row r="49" spans="1:4" x14ac:dyDescent="0.2">
      <c r="A49" s="27" t="s">
        <v>14</v>
      </c>
      <c r="B49" s="29" t="s">
        <v>33</v>
      </c>
      <c r="C49" s="9">
        <v>2E-3</v>
      </c>
      <c r="D49" s="13">
        <f t="shared" si="0"/>
        <v>5.41</v>
      </c>
    </row>
    <row r="50" spans="1:4" x14ac:dyDescent="0.2">
      <c r="A50" s="27" t="s">
        <v>34</v>
      </c>
      <c r="B50" s="29" t="s">
        <v>35</v>
      </c>
      <c r="C50" s="9">
        <v>0.08</v>
      </c>
      <c r="D50" s="13">
        <f t="shared" si="0"/>
        <v>216.73</v>
      </c>
    </row>
    <row r="51" spans="1:4" x14ac:dyDescent="0.2">
      <c r="A51" s="89" t="s">
        <v>36</v>
      </c>
      <c r="B51" s="89"/>
      <c r="C51" s="15">
        <f>SUM(C43:C50)</f>
        <v>0.36800000000000005</v>
      </c>
      <c r="D51" s="17">
        <f>SUM(D43:D50)</f>
        <v>996.93000000000006</v>
      </c>
    </row>
    <row r="54" spans="1:4" x14ac:dyDescent="0.2">
      <c r="A54" s="99" t="s">
        <v>37</v>
      </c>
      <c r="B54" s="99"/>
      <c r="C54" s="99"/>
      <c r="D54" s="99"/>
    </row>
    <row r="56" spans="1:4" x14ac:dyDescent="0.2">
      <c r="A56" s="28" t="s">
        <v>38</v>
      </c>
      <c r="B56" s="98" t="s">
        <v>39</v>
      </c>
      <c r="C56" s="98"/>
      <c r="D56" s="28" t="s">
        <v>3</v>
      </c>
    </row>
    <row r="57" spans="1:4" x14ac:dyDescent="0.2">
      <c r="A57" s="27" t="s">
        <v>4</v>
      </c>
      <c r="B57" s="90" t="s">
        <v>40</v>
      </c>
      <c r="C57" s="90"/>
      <c r="D57" s="13">
        <f>(15*2*4.9)-(D19*0.06)</f>
        <v>64.511400000000009</v>
      </c>
    </row>
    <row r="58" spans="1:4" x14ac:dyDescent="0.2">
      <c r="A58" s="27" t="s">
        <v>6</v>
      </c>
      <c r="B58" s="90" t="s">
        <v>41</v>
      </c>
      <c r="C58" s="90"/>
      <c r="D58" s="13">
        <f>16*15*0.85</f>
        <v>204</v>
      </c>
    </row>
    <row r="59" spans="1:4" x14ac:dyDescent="0.2">
      <c r="A59" s="27" t="s">
        <v>8</v>
      </c>
      <c r="B59" s="90" t="s">
        <v>110</v>
      </c>
      <c r="C59" s="90"/>
      <c r="D59" s="13"/>
    </row>
    <row r="60" spans="1:4" x14ac:dyDescent="0.2">
      <c r="A60" s="27" t="s">
        <v>10</v>
      </c>
      <c r="B60" s="90" t="s">
        <v>104</v>
      </c>
      <c r="C60" s="90"/>
      <c r="D60" s="13">
        <v>4.1500000000000004</v>
      </c>
    </row>
    <row r="61" spans="1:4" x14ac:dyDescent="0.2">
      <c r="A61" s="27" t="s">
        <v>12</v>
      </c>
      <c r="B61" s="90" t="s">
        <v>105</v>
      </c>
      <c r="C61" s="90"/>
      <c r="D61" s="13">
        <v>3.5</v>
      </c>
    </row>
    <row r="62" spans="1:4" x14ac:dyDescent="0.2">
      <c r="A62" s="27" t="s">
        <v>31</v>
      </c>
      <c r="B62" s="90" t="s">
        <v>111</v>
      </c>
      <c r="C62" s="90"/>
      <c r="D62" s="13">
        <f>180/24</f>
        <v>7.5</v>
      </c>
    </row>
    <row r="63" spans="1:4" x14ac:dyDescent="0.2">
      <c r="A63" s="41" t="s">
        <v>14</v>
      </c>
      <c r="B63" s="90" t="s">
        <v>190</v>
      </c>
      <c r="C63" s="90"/>
      <c r="D63" s="13">
        <v>12.19</v>
      </c>
    </row>
    <row r="64" spans="1:4" x14ac:dyDescent="0.2">
      <c r="A64" s="89" t="s">
        <v>16</v>
      </c>
      <c r="B64" s="89"/>
      <c r="C64" s="89"/>
      <c r="D64" s="17">
        <f>SUM(D57:D63)</f>
        <v>295.85139999999996</v>
      </c>
    </row>
    <row r="67" spans="1:4" x14ac:dyDescent="0.2">
      <c r="A67" s="99" t="s">
        <v>42</v>
      </c>
      <c r="B67" s="99"/>
      <c r="C67" s="99"/>
      <c r="D67" s="99"/>
    </row>
    <row r="69" spans="1:4" x14ac:dyDescent="0.2">
      <c r="A69" s="28">
        <v>2</v>
      </c>
      <c r="B69" s="98" t="s">
        <v>43</v>
      </c>
      <c r="C69" s="98"/>
      <c r="D69" s="28" t="s">
        <v>3</v>
      </c>
    </row>
    <row r="70" spans="1:4" x14ac:dyDescent="0.2">
      <c r="A70" s="27" t="s">
        <v>19</v>
      </c>
      <c r="B70" s="90" t="s">
        <v>20</v>
      </c>
      <c r="C70" s="90"/>
      <c r="D70" s="14">
        <f>D37</f>
        <v>440.75</v>
      </c>
    </row>
    <row r="71" spans="1:4" x14ac:dyDescent="0.2">
      <c r="A71" s="27" t="s">
        <v>23</v>
      </c>
      <c r="B71" s="90" t="s">
        <v>24</v>
      </c>
      <c r="C71" s="90"/>
      <c r="D71" s="14">
        <f>D51</f>
        <v>996.93000000000006</v>
      </c>
    </row>
    <row r="72" spans="1:4" x14ac:dyDescent="0.2">
      <c r="A72" s="27" t="s">
        <v>38</v>
      </c>
      <c r="B72" s="90" t="s">
        <v>39</v>
      </c>
      <c r="C72" s="90"/>
      <c r="D72" s="14">
        <f>D64</f>
        <v>295.85139999999996</v>
      </c>
    </row>
    <row r="73" spans="1:4" x14ac:dyDescent="0.2">
      <c r="A73" s="89" t="s">
        <v>16</v>
      </c>
      <c r="B73" s="89"/>
      <c r="C73" s="89"/>
      <c r="D73" s="17">
        <f>SUM(D70:D72)</f>
        <v>1733.5314000000001</v>
      </c>
    </row>
    <row r="74" spans="1:4" x14ac:dyDescent="0.2">
      <c r="A74" s="4"/>
    </row>
    <row r="76" spans="1:4" x14ac:dyDescent="0.2">
      <c r="A76" s="93" t="s">
        <v>44</v>
      </c>
      <c r="B76" s="93"/>
      <c r="C76" s="93"/>
      <c r="D76" s="93"/>
    </row>
    <row r="77" spans="1:4" ht="12.75" customHeight="1" x14ac:dyDescent="0.2"/>
    <row r="78" spans="1:4" x14ac:dyDescent="0.2">
      <c r="A78" s="28">
        <v>3</v>
      </c>
      <c r="B78" s="98" t="s">
        <v>45</v>
      </c>
      <c r="C78" s="98"/>
      <c r="D78" s="28" t="s">
        <v>3</v>
      </c>
    </row>
    <row r="79" spans="1:4" x14ac:dyDescent="0.2">
      <c r="A79" s="27" t="s">
        <v>4</v>
      </c>
      <c r="B79" s="10" t="s">
        <v>46</v>
      </c>
      <c r="C79" s="9">
        <f>TRUNC(((1/12)*5%),4)</f>
        <v>4.1000000000000003E-3</v>
      </c>
      <c r="D79" s="13">
        <f>TRUNC($D$26*C79,2)</f>
        <v>9.3000000000000007</v>
      </c>
    </row>
    <row r="80" spans="1:4" x14ac:dyDescent="0.2">
      <c r="A80" s="27" t="s">
        <v>6</v>
      </c>
      <c r="B80" s="10" t="s">
        <v>47</v>
      </c>
      <c r="C80" s="9">
        <v>0.08</v>
      </c>
      <c r="D80" s="13">
        <f>TRUNC(D79*C80,2)</f>
        <v>0.74</v>
      </c>
    </row>
    <row r="81" spans="1:4" x14ac:dyDescent="0.2">
      <c r="A81" s="27" t="s">
        <v>8</v>
      </c>
      <c r="B81" s="10" t="s">
        <v>48</v>
      </c>
      <c r="C81" s="9">
        <f>TRUNC(8%*5%*40%,4)</f>
        <v>1.6000000000000001E-3</v>
      </c>
      <c r="D81" s="13">
        <f>TRUNC($D$26*C81,2)</f>
        <v>3.62</v>
      </c>
    </row>
    <row r="82" spans="1:4" x14ac:dyDescent="0.2">
      <c r="A82" s="27" t="s">
        <v>10</v>
      </c>
      <c r="B82" s="10" t="s">
        <v>49</v>
      </c>
      <c r="C82" s="9">
        <f>TRUNC(((7/30)/12)*95%,4)</f>
        <v>1.84E-2</v>
      </c>
      <c r="D82" s="13">
        <f>TRUNC($D$26*C82,2)</f>
        <v>41.73</v>
      </c>
    </row>
    <row r="83" spans="1:4" ht="25.5" x14ac:dyDescent="0.2">
      <c r="A83" s="27" t="s">
        <v>12</v>
      </c>
      <c r="B83" s="10" t="s">
        <v>94</v>
      </c>
      <c r="C83" s="9">
        <f>C51</f>
        <v>0.36800000000000005</v>
      </c>
      <c r="D83" s="13">
        <f>TRUNC(D82*C83,2)</f>
        <v>15.35</v>
      </c>
    </row>
    <row r="84" spans="1:4" x14ac:dyDescent="0.2">
      <c r="A84" s="27" t="s">
        <v>31</v>
      </c>
      <c r="B84" s="10" t="s">
        <v>50</v>
      </c>
      <c r="C84" s="9">
        <f>TRUNC(8%*95%*40%,4)</f>
        <v>3.04E-2</v>
      </c>
      <c r="D84" s="13">
        <f t="shared" ref="D84" si="1">TRUNC($D$26*C84,2)</f>
        <v>68.959999999999994</v>
      </c>
    </row>
    <row r="85" spans="1:4" x14ac:dyDescent="0.2">
      <c r="A85" s="85" t="s">
        <v>16</v>
      </c>
      <c r="B85" s="97"/>
      <c r="C85" s="86"/>
      <c r="D85" s="17">
        <f>SUM(D79:D84)</f>
        <v>139.69999999999999</v>
      </c>
    </row>
    <row r="88" spans="1:4" x14ac:dyDescent="0.2">
      <c r="A88" s="93" t="s">
        <v>51</v>
      </c>
      <c r="B88" s="93"/>
      <c r="C88" s="93"/>
      <c r="D88" s="93"/>
    </row>
    <row r="91" spans="1:4" x14ac:dyDescent="0.2">
      <c r="A91" s="99" t="s">
        <v>78</v>
      </c>
      <c r="B91" s="99"/>
      <c r="C91" s="99"/>
      <c r="D91" s="99"/>
    </row>
    <row r="92" spans="1:4" x14ac:dyDescent="0.2">
      <c r="A92" s="3"/>
    </row>
    <row r="93" spans="1:4" x14ac:dyDescent="0.2">
      <c r="A93" s="28" t="s">
        <v>52</v>
      </c>
      <c r="B93" s="98" t="s">
        <v>79</v>
      </c>
      <c r="C93" s="98"/>
      <c r="D93" s="28" t="s">
        <v>3</v>
      </c>
    </row>
    <row r="94" spans="1:4" x14ac:dyDescent="0.2">
      <c r="A94" s="27" t="s">
        <v>4</v>
      </c>
      <c r="B94" s="29" t="s">
        <v>80</v>
      </c>
      <c r="C94" s="9">
        <f>TRUNC(((1+1/3)/12)/12,4)</f>
        <v>9.1999999999999998E-3</v>
      </c>
      <c r="D94" s="13">
        <f t="shared" ref="D94:D99" si="2">TRUNC(($D$26+$D$73+$D$85)*C94,2)</f>
        <v>38.1</v>
      </c>
    </row>
    <row r="95" spans="1:4" x14ac:dyDescent="0.2">
      <c r="A95" s="27" t="s">
        <v>6</v>
      </c>
      <c r="B95" s="29" t="s">
        <v>81</v>
      </c>
      <c r="C95" s="9">
        <f>TRUNC(((2/30)/12),4)</f>
        <v>5.4999999999999997E-3</v>
      </c>
      <c r="D95" s="13">
        <f t="shared" si="2"/>
        <v>22.77</v>
      </c>
    </row>
    <row r="96" spans="1:4" x14ac:dyDescent="0.2">
      <c r="A96" s="27" t="s">
        <v>8</v>
      </c>
      <c r="B96" s="29" t="s">
        <v>82</v>
      </c>
      <c r="C96" s="9">
        <f>TRUNC(((5/30)/12)*2%,4)</f>
        <v>2.0000000000000001E-4</v>
      </c>
      <c r="D96" s="13">
        <f t="shared" si="2"/>
        <v>0.82</v>
      </c>
    </row>
    <row r="97" spans="1:4" x14ac:dyDescent="0.2">
      <c r="A97" s="27" t="s">
        <v>10</v>
      </c>
      <c r="B97" s="29" t="s">
        <v>83</v>
      </c>
      <c r="C97" s="9">
        <f>TRUNC(((15/30)/12)*8%,4)</f>
        <v>3.3E-3</v>
      </c>
      <c r="D97" s="13">
        <f t="shared" si="2"/>
        <v>13.66</v>
      </c>
    </row>
    <row r="98" spans="1:4" x14ac:dyDescent="0.2">
      <c r="A98" s="27" t="s">
        <v>12</v>
      </c>
      <c r="B98" s="29" t="s">
        <v>84</v>
      </c>
      <c r="C98" s="9">
        <f>((1+1/3)/12)*3%*(4/12)</f>
        <v>1.1111111111111109E-3</v>
      </c>
      <c r="D98" s="13">
        <f t="shared" si="2"/>
        <v>4.5999999999999996</v>
      </c>
    </row>
    <row r="99" spans="1:4" x14ac:dyDescent="0.2">
      <c r="A99" s="27" t="s">
        <v>31</v>
      </c>
      <c r="B99" s="29" t="s">
        <v>85</v>
      </c>
      <c r="C99" s="9"/>
      <c r="D99" s="13">
        <f t="shared" si="2"/>
        <v>0</v>
      </c>
    </row>
    <row r="100" spans="1:4" x14ac:dyDescent="0.2">
      <c r="A100" s="89" t="s">
        <v>36</v>
      </c>
      <c r="B100" s="89"/>
      <c r="C100" s="89"/>
      <c r="D100" s="17">
        <f>SUM(D94:D99)</f>
        <v>79.95</v>
      </c>
    </row>
    <row r="103" spans="1:4" x14ac:dyDescent="0.2">
      <c r="A103" s="99" t="s">
        <v>86</v>
      </c>
      <c r="B103" s="99"/>
      <c r="C103" s="99"/>
      <c r="D103" s="99"/>
    </row>
    <row r="104" spans="1:4" x14ac:dyDescent="0.2">
      <c r="A104" s="3"/>
    </row>
    <row r="105" spans="1:4" x14ac:dyDescent="0.2">
      <c r="A105" s="28" t="s">
        <v>53</v>
      </c>
      <c r="B105" s="98" t="s">
        <v>87</v>
      </c>
      <c r="C105" s="98"/>
      <c r="D105" s="28" t="s">
        <v>3</v>
      </c>
    </row>
    <row r="106" spans="1:4" x14ac:dyDescent="0.2">
      <c r="A106" s="27"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28">
        <v>4</v>
      </c>
      <c r="B112" s="89" t="s">
        <v>55</v>
      </c>
      <c r="C112" s="89"/>
      <c r="D112" s="28" t="s">
        <v>3</v>
      </c>
    </row>
    <row r="113" spans="1:4" x14ac:dyDescent="0.2">
      <c r="A113" s="27" t="s">
        <v>52</v>
      </c>
      <c r="B113" s="90" t="s">
        <v>79</v>
      </c>
      <c r="C113" s="90"/>
      <c r="D113" s="14">
        <f>D100</f>
        <v>79.95</v>
      </c>
    </row>
    <row r="114" spans="1:4" x14ac:dyDescent="0.2">
      <c r="A114" s="27" t="s">
        <v>53</v>
      </c>
      <c r="B114" s="90" t="s">
        <v>87</v>
      </c>
      <c r="C114" s="90"/>
      <c r="D114" s="14">
        <f>D107</f>
        <v>0</v>
      </c>
    </row>
    <row r="115" spans="1:4" x14ac:dyDescent="0.2">
      <c r="A115" s="89" t="s">
        <v>16</v>
      </c>
      <c r="B115" s="89"/>
      <c r="C115" s="89"/>
      <c r="D115" s="17">
        <f>SUM(D113:D114)</f>
        <v>79.95</v>
      </c>
    </row>
    <row r="118" spans="1:4" x14ac:dyDescent="0.2">
      <c r="A118" s="93" t="s">
        <v>56</v>
      </c>
      <c r="B118" s="93"/>
      <c r="C118" s="93"/>
      <c r="D118" s="93"/>
    </row>
    <row r="120" spans="1:4" x14ac:dyDescent="0.2">
      <c r="A120" s="28">
        <v>5</v>
      </c>
      <c r="B120" s="96" t="s">
        <v>57</v>
      </c>
      <c r="C120" s="96"/>
      <c r="D120" s="28" t="s">
        <v>3</v>
      </c>
    </row>
    <row r="121" spans="1:4" x14ac:dyDescent="0.2">
      <c r="A121" s="27" t="s">
        <v>4</v>
      </c>
      <c r="B121" s="29" t="s">
        <v>58</v>
      </c>
      <c r="C121" s="29"/>
      <c r="D121" s="13">
        <v>105.95</v>
      </c>
    </row>
    <row r="122" spans="1:4" x14ac:dyDescent="0.2">
      <c r="A122" s="27" t="s">
        <v>6</v>
      </c>
      <c r="B122" s="29" t="s">
        <v>59</v>
      </c>
      <c r="C122" s="29"/>
      <c r="D122" s="13">
        <v>2.39</v>
      </c>
    </row>
    <row r="123" spans="1:4" x14ac:dyDescent="0.2">
      <c r="A123" s="27" t="s">
        <v>8</v>
      </c>
      <c r="B123" s="29" t="s">
        <v>60</v>
      </c>
      <c r="C123" s="29"/>
      <c r="D123" s="13">
        <v>22.25</v>
      </c>
    </row>
    <row r="124" spans="1:4" x14ac:dyDescent="0.2">
      <c r="A124" s="27" t="s">
        <v>10</v>
      </c>
      <c r="B124" s="29" t="s">
        <v>191</v>
      </c>
      <c r="C124" s="29"/>
      <c r="D124" s="13">
        <v>98.94</v>
      </c>
    </row>
    <row r="125" spans="1:4" x14ac:dyDescent="0.2">
      <c r="A125" s="84" t="s">
        <v>12</v>
      </c>
      <c r="B125" s="83" t="s">
        <v>193</v>
      </c>
      <c r="C125" s="83"/>
      <c r="D125" s="13">
        <v>50.64</v>
      </c>
    </row>
    <row r="126" spans="1:4" x14ac:dyDescent="0.2">
      <c r="A126" s="89" t="s">
        <v>36</v>
      </c>
      <c r="B126" s="89"/>
      <c r="C126" s="89"/>
      <c r="D126" s="18">
        <f>SUM(D121:D125)</f>
        <v>280.17</v>
      </c>
    </row>
    <row r="129" spans="1:4" x14ac:dyDescent="0.2">
      <c r="A129" s="93" t="s">
        <v>61</v>
      </c>
      <c r="B129" s="93"/>
      <c r="C129" s="93"/>
      <c r="D129" s="93"/>
    </row>
    <row r="131" spans="1:4" x14ac:dyDescent="0.2">
      <c r="A131" s="28">
        <v>6</v>
      </c>
      <c r="B131" s="30" t="s">
        <v>62</v>
      </c>
      <c r="C131" s="28" t="s">
        <v>25</v>
      </c>
      <c r="D131" s="28" t="s">
        <v>3</v>
      </c>
    </row>
    <row r="132" spans="1:4" x14ac:dyDescent="0.2">
      <c r="A132" s="27" t="s">
        <v>4</v>
      </c>
      <c r="B132" s="29" t="s">
        <v>63</v>
      </c>
      <c r="C132" s="9">
        <v>0.06</v>
      </c>
      <c r="D132" s="14">
        <f>D152*C132</f>
        <v>270.10727399999996</v>
      </c>
    </row>
    <row r="133" spans="1:4" x14ac:dyDescent="0.2">
      <c r="A133" s="27" t="s">
        <v>6</v>
      </c>
      <c r="B133" s="29" t="s">
        <v>64</v>
      </c>
      <c r="C133" s="9">
        <v>6.7900000000000002E-2</v>
      </c>
      <c r="D133" s="13">
        <f>(D152+D132)*C133</f>
        <v>324.01168231459997</v>
      </c>
    </row>
    <row r="134" spans="1:4" x14ac:dyDescent="0.2">
      <c r="A134" s="27" t="s">
        <v>8</v>
      </c>
      <c r="B134" s="29" t="s">
        <v>65</v>
      </c>
      <c r="C134" s="12">
        <f>SUM(C135:C140)</f>
        <v>8.6499999999999994E-2</v>
      </c>
      <c r="D134" s="13">
        <f>(D152+D132+D133)*C134/(1-C134)</f>
        <v>482.53524145726641</v>
      </c>
    </row>
    <row r="135" spans="1:4" x14ac:dyDescent="0.2">
      <c r="A135" s="27"/>
      <c r="B135" s="29" t="s">
        <v>66</v>
      </c>
      <c r="C135" s="9"/>
      <c r="D135" s="14">
        <f>$D$154*C135</f>
        <v>0</v>
      </c>
    </row>
    <row r="136" spans="1:4" x14ac:dyDescent="0.2">
      <c r="A136" s="27"/>
      <c r="B136" s="29" t="s">
        <v>96</v>
      </c>
      <c r="C136" s="9">
        <v>6.4999999999999997E-3</v>
      </c>
      <c r="D136" s="14">
        <f t="shared" ref="D136:D140" si="3">$D$154*C136</f>
        <v>36.259873635517124</v>
      </c>
    </row>
    <row r="137" spans="1:4" x14ac:dyDescent="0.2">
      <c r="A137" s="27"/>
      <c r="B137" s="29" t="s">
        <v>97</v>
      </c>
      <c r="C137" s="9">
        <v>0.03</v>
      </c>
      <c r="D137" s="14">
        <f t="shared" si="3"/>
        <v>167.35326293315595</v>
      </c>
    </row>
    <row r="138" spans="1:4" x14ac:dyDescent="0.2">
      <c r="A138" s="27"/>
      <c r="B138" s="29" t="s">
        <v>67</v>
      </c>
      <c r="C138" s="27"/>
      <c r="D138" s="14">
        <f t="shared" si="3"/>
        <v>0</v>
      </c>
    </row>
    <row r="139" spans="1:4" x14ac:dyDescent="0.2">
      <c r="A139" s="27"/>
      <c r="B139" s="29" t="s">
        <v>68</v>
      </c>
      <c r="C139" s="9"/>
      <c r="D139" s="14">
        <f t="shared" si="3"/>
        <v>0</v>
      </c>
    </row>
    <row r="140" spans="1:4" x14ac:dyDescent="0.2">
      <c r="A140" s="27"/>
      <c r="B140" s="29" t="s">
        <v>98</v>
      </c>
      <c r="C140" s="9">
        <v>0.05</v>
      </c>
      <c r="D140" s="14">
        <f t="shared" si="3"/>
        <v>278.92210488859331</v>
      </c>
    </row>
    <row r="141" spans="1:4" ht="13.5" x14ac:dyDescent="0.2">
      <c r="A141" s="85" t="s">
        <v>36</v>
      </c>
      <c r="B141" s="97"/>
      <c r="C141" s="19">
        <f>(1+C133)*(1+C132)/(1-C134)-1</f>
        <v>0.2391614668856048</v>
      </c>
      <c r="D141" s="17">
        <f>SUM(D132:D134)</f>
        <v>1076.6541977718664</v>
      </c>
    </row>
    <row r="144" spans="1:4" x14ac:dyDescent="0.2">
      <c r="A144" s="93" t="s">
        <v>69</v>
      </c>
      <c r="B144" s="93"/>
      <c r="C144" s="93"/>
      <c r="D144" s="93"/>
    </row>
    <row r="146" spans="1:4" x14ac:dyDescent="0.2">
      <c r="A146" s="28"/>
      <c r="B146" s="89" t="s">
        <v>70</v>
      </c>
      <c r="C146" s="89"/>
      <c r="D146" s="28" t="s">
        <v>3</v>
      </c>
    </row>
    <row r="147" spans="1:4" x14ac:dyDescent="0.2">
      <c r="A147" s="28" t="s">
        <v>4</v>
      </c>
      <c r="B147" s="90" t="s">
        <v>1</v>
      </c>
      <c r="C147" s="90"/>
      <c r="D147" s="20">
        <f>D26</f>
        <v>2268.4364999999998</v>
      </c>
    </row>
    <row r="148" spans="1:4" x14ac:dyDescent="0.2">
      <c r="A148" s="28" t="s">
        <v>6</v>
      </c>
      <c r="B148" s="90" t="s">
        <v>17</v>
      </c>
      <c r="C148" s="90"/>
      <c r="D148" s="20">
        <f>D73</f>
        <v>1733.5314000000001</v>
      </c>
    </row>
    <row r="149" spans="1:4" x14ac:dyDescent="0.2">
      <c r="A149" s="28" t="s">
        <v>8</v>
      </c>
      <c r="B149" s="90" t="s">
        <v>44</v>
      </c>
      <c r="C149" s="90"/>
      <c r="D149" s="20">
        <f>D85</f>
        <v>139.69999999999999</v>
      </c>
    </row>
    <row r="150" spans="1:4" x14ac:dyDescent="0.2">
      <c r="A150" s="28" t="s">
        <v>10</v>
      </c>
      <c r="B150" s="90" t="s">
        <v>51</v>
      </c>
      <c r="C150" s="90"/>
      <c r="D150" s="20">
        <f>D115</f>
        <v>79.95</v>
      </c>
    </row>
    <row r="151" spans="1:4" x14ac:dyDescent="0.2">
      <c r="A151" s="28" t="s">
        <v>12</v>
      </c>
      <c r="B151" s="90" t="s">
        <v>56</v>
      </c>
      <c r="C151" s="90"/>
      <c r="D151" s="20">
        <f>D126</f>
        <v>280.17</v>
      </c>
    </row>
    <row r="152" spans="1:4" x14ac:dyDescent="0.2">
      <c r="A152" s="89" t="s">
        <v>95</v>
      </c>
      <c r="B152" s="89"/>
      <c r="C152" s="89"/>
      <c r="D152" s="21">
        <f>SUM(D147:D151)</f>
        <v>4501.7878999999994</v>
      </c>
    </row>
    <row r="153" spans="1:4" x14ac:dyDescent="0.2">
      <c r="A153" s="28" t="s">
        <v>31</v>
      </c>
      <c r="B153" s="90" t="s">
        <v>71</v>
      </c>
      <c r="C153" s="90"/>
      <c r="D153" s="22">
        <f>D141</f>
        <v>1076.6541977718664</v>
      </c>
    </row>
    <row r="154" spans="1:4" x14ac:dyDescent="0.2">
      <c r="A154" s="89" t="s">
        <v>72</v>
      </c>
      <c r="B154" s="89"/>
      <c r="C154" s="89"/>
      <c r="D154" s="21">
        <f>SUM(D152:D153)</f>
        <v>5578.4420977718655</v>
      </c>
    </row>
  </sheetData>
  <mergeCells count="73">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A73:C73"/>
    <mergeCell ref="B60:C60"/>
    <mergeCell ref="B61:C61"/>
    <mergeCell ref="A64:C64"/>
    <mergeCell ref="A67:D67"/>
    <mergeCell ref="B69:C69"/>
    <mergeCell ref="B70:C70"/>
    <mergeCell ref="B71:C71"/>
    <mergeCell ref="B72:C72"/>
    <mergeCell ref="B63:C63"/>
    <mergeCell ref="A110:D110"/>
    <mergeCell ref="A76:D76"/>
    <mergeCell ref="B78:C78"/>
    <mergeCell ref="A85:C85"/>
    <mergeCell ref="A88:D88"/>
    <mergeCell ref="A91:D91"/>
    <mergeCell ref="B93:C93"/>
    <mergeCell ref="A100:C100"/>
    <mergeCell ref="A103:D103"/>
    <mergeCell ref="B105:C105"/>
    <mergeCell ref="B106:C106"/>
    <mergeCell ref="A107:C107"/>
    <mergeCell ref="B113:C113"/>
    <mergeCell ref="B114:C114"/>
    <mergeCell ref="A115:C115"/>
    <mergeCell ref="A118:D118"/>
    <mergeCell ref="B120:C120"/>
    <mergeCell ref="A154:C154"/>
    <mergeCell ref="B59:C59"/>
    <mergeCell ref="B62:C62"/>
    <mergeCell ref="B148:C148"/>
    <mergeCell ref="B149:C149"/>
    <mergeCell ref="B150:C150"/>
    <mergeCell ref="B151:C151"/>
    <mergeCell ref="A152:C152"/>
    <mergeCell ref="B153:C153"/>
    <mergeCell ref="A126:C126"/>
    <mergeCell ref="A129:D129"/>
    <mergeCell ref="A141:B141"/>
    <mergeCell ref="A144:D144"/>
    <mergeCell ref="B146:C146"/>
    <mergeCell ref="B147:C147"/>
    <mergeCell ref="B112:C112"/>
  </mergeCells>
  <pageMargins left="0.511811024" right="0.511811024" top="0.78740157499999996" bottom="0.78740157499999996" header="0.31496062000000002" footer="0.31496062000000002"/>
  <pageSetup paperSize="9" scale="8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40" zoomScale="115" zoomScaleNormal="115" workbookViewId="0">
      <selection activeCell="D124" sqref="D124"/>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27" t="s">
        <v>91</v>
      </c>
      <c r="D5" s="25" t="s">
        <v>92</v>
      </c>
    </row>
    <row r="6" spans="1:4" ht="25.5" customHeight="1" x14ac:dyDescent="0.2">
      <c r="A6" s="85" t="s">
        <v>109</v>
      </c>
      <c r="B6" s="86"/>
      <c r="C6" s="35" t="s">
        <v>100</v>
      </c>
      <c r="D6" s="35">
        <v>1</v>
      </c>
    </row>
    <row r="8" spans="1:4" x14ac:dyDescent="0.2">
      <c r="A8" s="92" t="s">
        <v>73</v>
      </c>
      <c r="B8" s="92"/>
      <c r="C8" s="92"/>
      <c r="D8" s="92"/>
    </row>
    <row r="9" spans="1:4" x14ac:dyDescent="0.2">
      <c r="A9" s="2"/>
      <c r="B9" s="2"/>
      <c r="C9" s="2"/>
      <c r="D9" s="2"/>
    </row>
    <row r="10" spans="1:4" x14ac:dyDescent="0.2">
      <c r="A10" s="5">
        <v>1</v>
      </c>
      <c r="B10" s="5" t="s">
        <v>74</v>
      </c>
      <c r="C10" s="87" t="s">
        <v>107</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28">
        <v>1</v>
      </c>
      <c r="B18" s="89" t="s">
        <v>2</v>
      </c>
      <c r="C18" s="89"/>
      <c r="D18" s="28" t="s">
        <v>3</v>
      </c>
    </row>
    <row r="19" spans="1:4" x14ac:dyDescent="0.2">
      <c r="A19" s="27" t="s">
        <v>4</v>
      </c>
      <c r="B19" s="90" t="s">
        <v>5</v>
      </c>
      <c r="C19" s="90"/>
      <c r="D19" s="13">
        <v>1374.81</v>
      </c>
    </row>
    <row r="20" spans="1:4" x14ac:dyDescent="0.2">
      <c r="A20" s="27" t="s">
        <v>6</v>
      </c>
      <c r="B20" s="90" t="s">
        <v>7</v>
      </c>
      <c r="C20" s="90"/>
      <c r="D20" s="13">
        <f>D19*0.3</f>
        <v>412.44299999999998</v>
      </c>
    </row>
    <row r="21" spans="1:4" x14ac:dyDescent="0.2">
      <c r="A21" s="27" t="s">
        <v>8</v>
      </c>
      <c r="B21" s="90" t="s">
        <v>9</v>
      </c>
      <c r="C21" s="90"/>
      <c r="D21" s="13"/>
    </row>
    <row r="22" spans="1:4" x14ac:dyDescent="0.2">
      <c r="A22" s="27" t="s">
        <v>10</v>
      </c>
      <c r="B22" s="90" t="s">
        <v>11</v>
      </c>
      <c r="C22" s="90"/>
      <c r="D22" s="13">
        <f>8*15*((D19+D20)/220)*0.35</f>
        <v>341.20284545454541</v>
      </c>
    </row>
    <row r="23" spans="1:4" x14ac:dyDescent="0.2">
      <c r="A23" s="27" t="s">
        <v>12</v>
      </c>
      <c r="B23" s="90" t="s">
        <v>13</v>
      </c>
      <c r="C23" s="90"/>
      <c r="D23" s="13">
        <f>15*((D19+D20)/220)</f>
        <v>121.85815909090908</v>
      </c>
    </row>
    <row r="24" spans="1:4" x14ac:dyDescent="0.2">
      <c r="A24" s="27" t="s">
        <v>31</v>
      </c>
      <c r="B24" s="90" t="s">
        <v>108</v>
      </c>
      <c r="C24" s="90"/>
      <c r="D24" s="13">
        <f>D19*0.35</f>
        <v>481.18349999999992</v>
      </c>
    </row>
    <row r="25" spans="1:4" x14ac:dyDescent="0.2">
      <c r="A25" s="27" t="s">
        <v>14</v>
      </c>
      <c r="B25" s="90" t="s">
        <v>15</v>
      </c>
      <c r="C25" s="90"/>
      <c r="D25" s="13"/>
    </row>
    <row r="26" spans="1:4" x14ac:dyDescent="0.2">
      <c r="A26" s="89" t="s">
        <v>16</v>
      </c>
      <c r="B26" s="89"/>
      <c r="C26" s="89"/>
      <c r="D26" s="18">
        <f>SUM(D19:D25)</f>
        <v>2731.4975045454544</v>
      </c>
    </row>
    <row r="29" spans="1:4" x14ac:dyDescent="0.2">
      <c r="A29" s="93" t="s">
        <v>17</v>
      </c>
      <c r="B29" s="93"/>
      <c r="C29" s="93"/>
      <c r="D29" s="93"/>
    </row>
    <row r="30" spans="1:4" x14ac:dyDescent="0.2">
      <c r="A30" s="3"/>
    </row>
    <row r="31" spans="1:4" x14ac:dyDescent="0.2">
      <c r="A31" s="99" t="s">
        <v>18</v>
      </c>
      <c r="B31" s="99"/>
      <c r="C31" s="99"/>
      <c r="D31" s="99"/>
    </row>
    <row r="33" spans="1:4" x14ac:dyDescent="0.2">
      <c r="A33" s="28" t="s">
        <v>19</v>
      </c>
      <c r="B33" s="89" t="s">
        <v>20</v>
      </c>
      <c r="C33" s="89"/>
      <c r="D33" s="28" t="s">
        <v>3</v>
      </c>
    </row>
    <row r="34" spans="1:4" x14ac:dyDescent="0.2">
      <c r="A34" s="27" t="s">
        <v>4</v>
      </c>
      <c r="B34" s="29" t="s">
        <v>21</v>
      </c>
      <c r="C34" s="12">
        <f>TRUNC(1/12,4)</f>
        <v>8.3299999999999999E-2</v>
      </c>
      <c r="D34" s="13">
        <f>TRUNC($D$26*C34,2)</f>
        <v>227.53</v>
      </c>
    </row>
    <row r="35" spans="1:4" x14ac:dyDescent="0.2">
      <c r="A35" s="27" t="s">
        <v>6</v>
      </c>
      <c r="B35" s="29" t="s">
        <v>117</v>
      </c>
      <c r="C35" s="12">
        <f>TRUNC(((1)/12),4)</f>
        <v>8.3299999999999999E-2</v>
      </c>
      <c r="D35" s="13">
        <f>TRUNC($D$26*C35,2)</f>
        <v>227.53</v>
      </c>
    </row>
    <row r="36" spans="1:4" x14ac:dyDescent="0.2">
      <c r="A36" s="34" t="s">
        <v>8</v>
      </c>
      <c r="B36" s="31" t="s">
        <v>118</v>
      </c>
      <c r="C36" s="36">
        <f>TRUNC(((1/3)/12),4)</f>
        <v>2.7699999999999999E-2</v>
      </c>
      <c r="D36" s="13">
        <f>TRUNC($D$26*C36,2)</f>
        <v>75.66</v>
      </c>
    </row>
    <row r="37" spans="1:4" x14ac:dyDescent="0.2">
      <c r="A37" s="89" t="s">
        <v>16</v>
      </c>
      <c r="B37" s="89"/>
      <c r="C37" s="26">
        <f>SUM(C34:C36)</f>
        <v>0.1943</v>
      </c>
      <c r="D37" s="17">
        <f>SUM(D34:D36)</f>
        <v>530.72</v>
      </c>
    </row>
    <row r="40" spans="1:4" x14ac:dyDescent="0.2">
      <c r="A40" s="101" t="s">
        <v>22</v>
      </c>
      <c r="B40" s="101"/>
      <c r="C40" s="101"/>
      <c r="D40" s="101"/>
    </row>
    <row r="42" spans="1:4" x14ac:dyDescent="0.2">
      <c r="A42" s="28" t="s">
        <v>23</v>
      </c>
      <c r="B42" s="28" t="s">
        <v>24</v>
      </c>
      <c r="C42" s="28" t="s">
        <v>25</v>
      </c>
      <c r="D42" s="28" t="s">
        <v>3</v>
      </c>
    </row>
    <row r="43" spans="1:4" x14ac:dyDescent="0.2">
      <c r="A43" s="27" t="s">
        <v>4</v>
      </c>
      <c r="B43" s="29" t="s">
        <v>26</v>
      </c>
      <c r="C43" s="9">
        <v>0.2</v>
      </c>
      <c r="D43" s="13">
        <f>TRUNC(($D$26+$D$37)*C43,2)</f>
        <v>652.44000000000005</v>
      </c>
    </row>
    <row r="44" spans="1:4" x14ac:dyDescent="0.2">
      <c r="A44" s="27" t="s">
        <v>6</v>
      </c>
      <c r="B44" s="29" t="s">
        <v>27</v>
      </c>
      <c r="C44" s="9">
        <v>2.5000000000000001E-2</v>
      </c>
      <c r="D44" s="13">
        <f t="shared" ref="D44:D50" si="0">TRUNC(($D$26+$D$37)*C44,2)</f>
        <v>81.55</v>
      </c>
    </row>
    <row r="45" spans="1:4" x14ac:dyDescent="0.2">
      <c r="A45" s="27" t="s">
        <v>8</v>
      </c>
      <c r="B45" s="29" t="s">
        <v>28</v>
      </c>
      <c r="C45" s="16">
        <v>0.03</v>
      </c>
      <c r="D45" s="13">
        <f t="shared" si="0"/>
        <v>97.86</v>
      </c>
    </row>
    <row r="46" spans="1:4" x14ac:dyDescent="0.2">
      <c r="A46" s="27" t="s">
        <v>10</v>
      </c>
      <c r="B46" s="29" t="s">
        <v>29</v>
      </c>
      <c r="C46" s="9">
        <v>1.4999999999999999E-2</v>
      </c>
      <c r="D46" s="13">
        <f t="shared" si="0"/>
        <v>48.93</v>
      </c>
    </row>
    <row r="47" spans="1:4" x14ac:dyDescent="0.2">
      <c r="A47" s="27" t="s">
        <v>12</v>
      </c>
      <c r="B47" s="29" t="s">
        <v>30</v>
      </c>
      <c r="C47" s="9">
        <v>0.01</v>
      </c>
      <c r="D47" s="13">
        <f t="shared" si="0"/>
        <v>32.619999999999997</v>
      </c>
    </row>
    <row r="48" spans="1:4" x14ac:dyDescent="0.2">
      <c r="A48" s="27" t="s">
        <v>31</v>
      </c>
      <c r="B48" s="29" t="s">
        <v>32</v>
      </c>
      <c r="C48" s="9">
        <v>6.0000000000000001E-3</v>
      </c>
      <c r="D48" s="13">
        <f t="shared" si="0"/>
        <v>19.57</v>
      </c>
    </row>
    <row r="49" spans="1:4" x14ac:dyDescent="0.2">
      <c r="A49" s="27" t="s">
        <v>14</v>
      </c>
      <c r="B49" s="29" t="s">
        <v>33</v>
      </c>
      <c r="C49" s="9">
        <v>2E-3</v>
      </c>
      <c r="D49" s="13">
        <f t="shared" si="0"/>
        <v>6.52</v>
      </c>
    </row>
    <row r="50" spans="1:4" x14ac:dyDescent="0.2">
      <c r="A50" s="27" t="s">
        <v>34</v>
      </c>
      <c r="B50" s="29" t="s">
        <v>35</v>
      </c>
      <c r="C50" s="9">
        <v>0.08</v>
      </c>
      <c r="D50" s="13">
        <f t="shared" si="0"/>
        <v>260.97000000000003</v>
      </c>
    </row>
    <row r="51" spans="1:4" x14ac:dyDescent="0.2">
      <c r="A51" s="89" t="s">
        <v>36</v>
      </c>
      <c r="B51" s="89"/>
      <c r="C51" s="15">
        <f>SUM(C43:C50)</f>
        <v>0.36800000000000005</v>
      </c>
      <c r="D51" s="17">
        <f>SUM(D43:D50)</f>
        <v>1200.46</v>
      </c>
    </row>
    <row r="54" spans="1:4" x14ac:dyDescent="0.2">
      <c r="A54" s="99" t="s">
        <v>37</v>
      </c>
      <c r="B54" s="99"/>
      <c r="C54" s="99"/>
      <c r="D54" s="99"/>
    </row>
    <row r="56" spans="1:4" x14ac:dyDescent="0.2">
      <c r="A56" s="28" t="s">
        <v>38</v>
      </c>
      <c r="B56" s="98" t="s">
        <v>39</v>
      </c>
      <c r="C56" s="98"/>
      <c r="D56" s="28" t="s">
        <v>3</v>
      </c>
    </row>
    <row r="57" spans="1:4" x14ac:dyDescent="0.2">
      <c r="A57" s="27" t="s">
        <v>4</v>
      </c>
      <c r="B57" s="90" t="s">
        <v>40</v>
      </c>
      <c r="C57" s="90"/>
      <c r="D57" s="13">
        <f>(15*2*4.9)-(D19*0.06)</f>
        <v>64.511400000000009</v>
      </c>
    </row>
    <row r="58" spans="1:4" x14ac:dyDescent="0.2">
      <c r="A58" s="27" t="s">
        <v>6</v>
      </c>
      <c r="B58" s="90" t="s">
        <v>41</v>
      </c>
      <c r="C58" s="90"/>
      <c r="D58" s="13">
        <f>16*15*0.85</f>
        <v>204</v>
      </c>
    </row>
    <row r="59" spans="1:4" x14ac:dyDescent="0.2">
      <c r="A59" s="27" t="s">
        <v>8</v>
      </c>
      <c r="B59" s="90" t="s">
        <v>110</v>
      </c>
      <c r="C59" s="90"/>
      <c r="D59" s="13">
        <v>50.98</v>
      </c>
    </row>
    <row r="60" spans="1:4" x14ac:dyDescent="0.2">
      <c r="A60" s="27" t="s">
        <v>10</v>
      </c>
      <c r="B60" s="90" t="s">
        <v>104</v>
      </c>
      <c r="C60" s="90"/>
      <c r="D60" s="13">
        <v>4.1500000000000004</v>
      </c>
    </row>
    <row r="61" spans="1:4" x14ac:dyDescent="0.2">
      <c r="A61" s="27" t="s">
        <v>12</v>
      </c>
      <c r="B61" s="90" t="s">
        <v>105</v>
      </c>
      <c r="C61" s="90"/>
      <c r="D61" s="13">
        <v>3.5</v>
      </c>
    </row>
    <row r="62" spans="1:4" x14ac:dyDescent="0.2">
      <c r="A62" s="27" t="s">
        <v>31</v>
      </c>
      <c r="B62" s="90" t="s">
        <v>111</v>
      </c>
      <c r="C62" s="90"/>
      <c r="D62" s="13"/>
    </row>
    <row r="63" spans="1:4" x14ac:dyDescent="0.2">
      <c r="A63" s="41" t="s">
        <v>14</v>
      </c>
      <c r="B63" s="90" t="s">
        <v>190</v>
      </c>
      <c r="C63" s="90"/>
      <c r="D63" s="13">
        <v>12.19</v>
      </c>
    </row>
    <row r="64" spans="1:4" x14ac:dyDescent="0.2">
      <c r="A64" s="89" t="s">
        <v>16</v>
      </c>
      <c r="B64" s="89"/>
      <c r="C64" s="89"/>
      <c r="D64" s="17">
        <f>SUM(D57:D63)</f>
        <v>339.33139999999997</v>
      </c>
    </row>
    <row r="67" spans="1:4" x14ac:dyDescent="0.2">
      <c r="A67" s="99" t="s">
        <v>42</v>
      </c>
      <c r="B67" s="99"/>
      <c r="C67" s="99"/>
      <c r="D67" s="99"/>
    </row>
    <row r="69" spans="1:4" x14ac:dyDescent="0.2">
      <c r="A69" s="28">
        <v>2</v>
      </c>
      <c r="B69" s="98" t="s">
        <v>43</v>
      </c>
      <c r="C69" s="98"/>
      <c r="D69" s="28" t="s">
        <v>3</v>
      </c>
    </row>
    <row r="70" spans="1:4" x14ac:dyDescent="0.2">
      <c r="A70" s="27" t="s">
        <v>19</v>
      </c>
      <c r="B70" s="90" t="s">
        <v>20</v>
      </c>
      <c r="C70" s="90"/>
      <c r="D70" s="14">
        <f>D37</f>
        <v>530.72</v>
      </c>
    </row>
    <row r="71" spans="1:4" x14ac:dyDescent="0.2">
      <c r="A71" s="27" t="s">
        <v>23</v>
      </c>
      <c r="B71" s="90" t="s">
        <v>24</v>
      </c>
      <c r="C71" s="90"/>
      <c r="D71" s="14">
        <f>D51</f>
        <v>1200.46</v>
      </c>
    </row>
    <row r="72" spans="1:4" x14ac:dyDescent="0.2">
      <c r="A72" s="27" t="s">
        <v>38</v>
      </c>
      <c r="B72" s="90" t="s">
        <v>39</v>
      </c>
      <c r="C72" s="90"/>
      <c r="D72" s="14">
        <f>D64</f>
        <v>339.33139999999997</v>
      </c>
    </row>
    <row r="73" spans="1:4" x14ac:dyDescent="0.2">
      <c r="A73" s="89" t="s">
        <v>16</v>
      </c>
      <c r="B73" s="89"/>
      <c r="C73" s="89"/>
      <c r="D73" s="17">
        <f>SUM(D70:D72)</f>
        <v>2070.5113999999999</v>
      </c>
    </row>
    <row r="74" spans="1:4" x14ac:dyDescent="0.2">
      <c r="A74" s="4"/>
    </row>
    <row r="76" spans="1:4" x14ac:dyDescent="0.2">
      <c r="A76" s="93" t="s">
        <v>44</v>
      </c>
      <c r="B76" s="93"/>
      <c r="C76" s="93"/>
      <c r="D76" s="93"/>
    </row>
    <row r="77" spans="1:4" ht="12.75" customHeight="1" x14ac:dyDescent="0.2"/>
    <row r="78" spans="1:4" x14ac:dyDescent="0.2">
      <c r="A78" s="28">
        <v>3</v>
      </c>
      <c r="B78" s="98" t="s">
        <v>45</v>
      </c>
      <c r="C78" s="98"/>
      <c r="D78" s="28" t="s">
        <v>3</v>
      </c>
    </row>
    <row r="79" spans="1:4" x14ac:dyDescent="0.2">
      <c r="A79" s="27" t="s">
        <v>4</v>
      </c>
      <c r="B79" s="10" t="s">
        <v>46</v>
      </c>
      <c r="C79" s="9">
        <f>TRUNC(((1/12)*5%),4)</f>
        <v>4.1000000000000003E-3</v>
      </c>
      <c r="D79" s="13">
        <f>TRUNC($D$26*C79,2)</f>
        <v>11.19</v>
      </c>
    </row>
    <row r="80" spans="1:4" x14ac:dyDescent="0.2">
      <c r="A80" s="27" t="s">
        <v>6</v>
      </c>
      <c r="B80" s="10" t="s">
        <v>47</v>
      </c>
      <c r="C80" s="9">
        <v>0.08</v>
      </c>
      <c r="D80" s="13">
        <f>TRUNC(D79*C80,2)</f>
        <v>0.89</v>
      </c>
    </row>
    <row r="81" spans="1:4" x14ac:dyDescent="0.2">
      <c r="A81" s="27" t="s">
        <v>8</v>
      </c>
      <c r="B81" s="10" t="s">
        <v>48</v>
      </c>
      <c r="C81" s="9">
        <f>TRUNC(8%*5%*40%,4)</f>
        <v>1.6000000000000001E-3</v>
      </c>
      <c r="D81" s="13">
        <f>TRUNC($D$26*C81,2)</f>
        <v>4.37</v>
      </c>
    </row>
    <row r="82" spans="1:4" x14ac:dyDescent="0.2">
      <c r="A82" s="27" t="s">
        <v>10</v>
      </c>
      <c r="B82" s="10" t="s">
        <v>49</v>
      </c>
      <c r="C82" s="9">
        <f>TRUNC(((7/30)/12)*95%,4)</f>
        <v>1.84E-2</v>
      </c>
      <c r="D82" s="13">
        <f>TRUNC($D$26*C82,2)</f>
        <v>50.25</v>
      </c>
    </row>
    <row r="83" spans="1:4" ht="25.5" x14ac:dyDescent="0.2">
      <c r="A83" s="27" t="s">
        <v>12</v>
      </c>
      <c r="B83" s="10" t="s">
        <v>94</v>
      </c>
      <c r="C83" s="9">
        <f>C51</f>
        <v>0.36800000000000005</v>
      </c>
      <c r="D83" s="13">
        <f>TRUNC(D82*C83,2)</f>
        <v>18.489999999999998</v>
      </c>
    </row>
    <row r="84" spans="1:4" x14ac:dyDescent="0.2">
      <c r="A84" s="27" t="s">
        <v>31</v>
      </c>
      <c r="B84" s="10" t="s">
        <v>50</v>
      </c>
      <c r="C84" s="9">
        <f>TRUNC(8%*95%*40%,4)</f>
        <v>3.04E-2</v>
      </c>
      <c r="D84" s="13">
        <f t="shared" ref="D84" si="1">TRUNC($D$26*C84,2)</f>
        <v>83.03</v>
      </c>
    </row>
    <row r="85" spans="1:4" x14ac:dyDescent="0.2">
      <c r="A85" s="85" t="s">
        <v>16</v>
      </c>
      <c r="B85" s="97"/>
      <c r="C85" s="86"/>
      <c r="D85" s="17">
        <f>SUM(D79:D84)</f>
        <v>168.22</v>
      </c>
    </row>
    <row r="88" spans="1:4" x14ac:dyDescent="0.2">
      <c r="A88" s="93" t="s">
        <v>51</v>
      </c>
      <c r="B88" s="93"/>
      <c r="C88" s="93"/>
      <c r="D88" s="93"/>
    </row>
    <row r="91" spans="1:4" x14ac:dyDescent="0.2">
      <c r="A91" s="99" t="s">
        <v>78</v>
      </c>
      <c r="B91" s="99"/>
      <c r="C91" s="99"/>
      <c r="D91" s="99"/>
    </row>
    <row r="92" spans="1:4" x14ac:dyDescent="0.2">
      <c r="A92" s="3"/>
    </row>
    <row r="93" spans="1:4" x14ac:dyDescent="0.2">
      <c r="A93" s="28" t="s">
        <v>52</v>
      </c>
      <c r="B93" s="98" t="s">
        <v>79</v>
      </c>
      <c r="C93" s="98"/>
      <c r="D93" s="28" t="s">
        <v>3</v>
      </c>
    </row>
    <row r="94" spans="1:4" x14ac:dyDescent="0.2">
      <c r="A94" s="27" t="s">
        <v>4</v>
      </c>
      <c r="B94" s="29" t="s">
        <v>80</v>
      </c>
      <c r="C94" s="9">
        <f>TRUNC(((1+1/3)/12)/12,4)</f>
        <v>9.1999999999999998E-3</v>
      </c>
      <c r="D94" s="13">
        <f t="shared" ref="D94:D99" si="2">TRUNC(($D$26+$D$73+$D$85)*C94,2)</f>
        <v>45.72</v>
      </c>
    </row>
    <row r="95" spans="1:4" x14ac:dyDescent="0.2">
      <c r="A95" s="27" t="s">
        <v>6</v>
      </c>
      <c r="B95" s="29" t="s">
        <v>81</v>
      </c>
      <c r="C95" s="9">
        <f>TRUNC(((2/30)/12),4)</f>
        <v>5.4999999999999997E-3</v>
      </c>
      <c r="D95" s="13">
        <f t="shared" si="2"/>
        <v>27.33</v>
      </c>
    </row>
    <row r="96" spans="1:4" x14ac:dyDescent="0.2">
      <c r="A96" s="27" t="s">
        <v>8</v>
      </c>
      <c r="B96" s="29" t="s">
        <v>82</v>
      </c>
      <c r="C96" s="9">
        <f>TRUNC(((5/30)/12)*2%,4)</f>
        <v>2.0000000000000001E-4</v>
      </c>
      <c r="D96" s="13">
        <f t="shared" si="2"/>
        <v>0.99</v>
      </c>
    </row>
    <row r="97" spans="1:4" x14ac:dyDescent="0.2">
      <c r="A97" s="27" t="s">
        <v>10</v>
      </c>
      <c r="B97" s="29" t="s">
        <v>83</v>
      </c>
      <c r="C97" s="9">
        <f>TRUNC(((15/30)/12)*8%,4)</f>
        <v>3.3E-3</v>
      </c>
      <c r="D97" s="13">
        <f t="shared" si="2"/>
        <v>16.399999999999999</v>
      </c>
    </row>
    <row r="98" spans="1:4" x14ac:dyDescent="0.2">
      <c r="A98" s="27" t="s">
        <v>12</v>
      </c>
      <c r="B98" s="29" t="s">
        <v>84</v>
      </c>
      <c r="C98" s="9">
        <f>((1+1/3)/12)*3%*(4/12)</f>
        <v>1.1111111111111109E-3</v>
      </c>
      <c r="D98" s="13">
        <f t="shared" si="2"/>
        <v>5.52</v>
      </c>
    </row>
    <row r="99" spans="1:4" x14ac:dyDescent="0.2">
      <c r="A99" s="27" t="s">
        <v>31</v>
      </c>
      <c r="B99" s="29" t="s">
        <v>85</v>
      </c>
      <c r="C99" s="9"/>
      <c r="D99" s="13">
        <f t="shared" si="2"/>
        <v>0</v>
      </c>
    </row>
    <row r="100" spans="1:4" x14ac:dyDescent="0.2">
      <c r="A100" s="89" t="s">
        <v>36</v>
      </c>
      <c r="B100" s="89"/>
      <c r="C100" s="89"/>
      <c r="D100" s="17">
        <f>SUM(D94:D99)</f>
        <v>95.96</v>
      </c>
    </row>
    <row r="103" spans="1:4" x14ac:dyDescent="0.2">
      <c r="A103" s="99" t="s">
        <v>86</v>
      </c>
      <c r="B103" s="99"/>
      <c r="C103" s="99"/>
      <c r="D103" s="99"/>
    </row>
    <row r="104" spans="1:4" x14ac:dyDescent="0.2">
      <c r="A104" s="3"/>
    </row>
    <row r="105" spans="1:4" x14ac:dyDescent="0.2">
      <c r="A105" s="28" t="s">
        <v>53</v>
      </c>
      <c r="B105" s="98" t="s">
        <v>87</v>
      </c>
      <c r="C105" s="98"/>
      <c r="D105" s="28" t="s">
        <v>3</v>
      </c>
    </row>
    <row r="106" spans="1:4" x14ac:dyDescent="0.2">
      <c r="A106" s="27"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28">
        <v>4</v>
      </c>
      <c r="B112" s="89" t="s">
        <v>55</v>
      </c>
      <c r="C112" s="89"/>
      <c r="D112" s="28" t="s">
        <v>3</v>
      </c>
    </row>
    <row r="113" spans="1:4" x14ac:dyDescent="0.2">
      <c r="A113" s="27" t="s">
        <v>52</v>
      </c>
      <c r="B113" s="90" t="s">
        <v>79</v>
      </c>
      <c r="C113" s="90"/>
      <c r="D113" s="14">
        <f>D100</f>
        <v>95.96</v>
      </c>
    </row>
    <row r="114" spans="1:4" x14ac:dyDescent="0.2">
      <c r="A114" s="27" t="s">
        <v>53</v>
      </c>
      <c r="B114" s="90" t="s">
        <v>87</v>
      </c>
      <c r="C114" s="90"/>
      <c r="D114" s="14">
        <f>D107</f>
        <v>0</v>
      </c>
    </row>
    <row r="115" spans="1:4" x14ac:dyDescent="0.2">
      <c r="A115" s="89" t="s">
        <v>16</v>
      </c>
      <c r="B115" s="89"/>
      <c r="C115" s="89"/>
      <c r="D115" s="17">
        <f>SUM(D113:D114)</f>
        <v>95.96</v>
      </c>
    </row>
    <row r="118" spans="1:4" x14ac:dyDescent="0.2">
      <c r="A118" s="93" t="s">
        <v>56</v>
      </c>
      <c r="B118" s="93"/>
      <c r="C118" s="93"/>
      <c r="D118" s="93"/>
    </row>
    <row r="120" spans="1:4" x14ac:dyDescent="0.2">
      <c r="A120" s="28">
        <v>5</v>
      </c>
      <c r="B120" s="96" t="s">
        <v>57</v>
      </c>
      <c r="C120" s="96"/>
      <c r="D120" s="28" t="s">
        <v>3</v>
      </c>
    </row>
    <row r="121" spans="1:4" x14ac:dyDescent="0.2">
      <c r="A121" s="27" t="s">
        <v>4</v>
      </c>
      <c r="B121" s="29" t="s">
        <v>58</v>
      </c>
      <c r="C121" s="29"/>
      <c r="D121" s="13">
        <v>105.95</v>
      </c>
    </row>
    <row r="122" spans="1:4" x14ac:dyDescent="0.2">
      <c r="A122" s="27" t="s">
        <v>6</v>
      </c>
      <c r="B122" s="29" t="s">
        <v>59</v>
      </c>
      <c r="C122" s="29"/>
      <c r="D122" s="13">
        <v>2.39</v>
      </c>
    </row>
    <row r="123" spans="1:4" x14ac:dyDescent="0.2">
      <c r="A123" s="27" t="s">
        <v>8</v>
      </c>
      <c r="B123" s="29" t="s">
        <v>60</v>
      </c>
      <c r="C123" s="29"/>
      <c r="D123" s="13">
        <v>22.25</v>
      </c>
    </row>
    <row r="124" spans="1:4" x14ac:dyDescent="0.2">
      <c r="A124" s="27" t="s">
        <v>10</v>
      </c>
      <c r="B124" s="29" t="s">
        <v>191</v>
      </c>
      <c r="C124" s="29"/>
      <c r="D124" s="13">
        <v>98.94</v>
      </c>
    </row>
    <row r="125" spans="1:4" x14ac:dyDescent="0.2">
      <c r="A125" s="84" t="s">
        <v>12</v>
      </c>
      <c r="B125" s="83" t="s">
        <v>193</v>
      </c>
      <c r="C125" s="83"/>
      <c r="D125" s="13">
        <v>50.64</v>
      </c>
    </row>
    <row r="126" spans="1:4" x14ac:dyDescent="0.2">
      <c r="A126" s="89" t="s">
        <v>36</v>
      </c>
      <c r="B126" s="89"/>
      <c r="C126" s="89"/>
      <c r="D126" s="18">
        <f>SUM(D121:D125)</f>
        <v>280.17</v>
      </c>
    </row>
    <row r="129" spans="1:4" x14ac:dyDescent="0.2">
      <c r="A129" s="93" t="s">
        <v>61</v>
      </c>
      <c r="B129" s="93"/>
      <c r="C129" s="93"/>
      <c r="D129" s="93"/>
    </row>
    <row r="131" spans="1:4" x14ac:dyDescent="0.2">
      <c r="A131" s="28">
        <v>6</v>
      </c>
      <c r="B131" s="30" t="s">
        <v>62</v>
      </c>
      <c r="C131" s="28" t="s">
        <v>25</v>
      </c>
      <c r="D131" s="28" t="s">
        <v>3</v>
      </c>
    </row>
    <row r="132" spans="1:4" x14ac:dyDescent="0.2">
      <c r="A132" s="27" t="s">
        <v>4</v>
      </c>
      <c r="B132" s="29" t="s">
        <v>63</v>
      </c>
      <c r="C132" s="9">
        <v>0.06</v>
      </c>
      <c r="D132" s="14">
        <f>D152*C132</f>
        <v>320.78153427272724</v>
      </c>
    </row>
    <row r="133" spans="1:4" x14ac:dyDescent="0.2">
      <c r="A133" s="27" t="s">
        <v>6</v>
      </c>
      <c r="B133" s="29" t="s">
        <v>64</v>
      </c>
      <c r="C133" s="9">
        <v>6.7900000000000002E-2</v>
      </c>
      <c r="D133" s="13">
        <f>(D152+D132)*C133</f>
        <v>384.79883579575454</v>
      </c>
    </row>
    <row r="134" spans="1:4" x14ac:dyDescent="0.2">
      <c r="A134" s="27" t="s">
        <v>8</v>
      </c>
      <c r="B134" s="29" t="s">
        <v>65</v>
      </c>
      <c r="C134" s="12">
        <f>SUM(C135:C140)</f>
        <v>8.6499999999999994E-2</v>
      </c>
      <c r="D134" s="13">
        <f>(D152+D132+D133)*C134/(1-C134)</f>
        <v>573.06266803952428</v>
      </c>
    </row>
    <row r="135" spans="1:4" x14ac:dyDescent="0.2">
      <c r="A135" s="27"/>
      <c r="B135" s="29" t="s">
        <v>66</v>
      </c>
      <c r="C135" s="9"/>
      <c r="D135" s="14">
        <f>$D$154*C135</f>
        <v>0</v>
      </c>
    </row>
    <row r="136" spans="1:4" x14ac:dyDescent="0.2">
      <c r="A136" s="27"/>
      <c r="B136" s="29" t="s">
        <v>96</v>
      </c>
      <c r="C136" s="9">
        <v>6.4999999999999997E-3</v>
      </c>
      <c r="D136" s="14">
        <f t="shared" ref="D136:D140" si="3">$D$154*C136</f>
        <v>43.062512627247493</v>
      </c>
    </row>
    <row r="137" spans="1:4" x14ac:dyDescent="0.2">
      <c r="A137" s="27"/>
      <c r="B137" s="29" t="s">
        <v>97</v>
      </c>
      <c r="C137" s="9">
        <v>0.03</v>
      </c>
      <c r="D137" s="14">
        <f t="shared" si="3"/>
        <v>198.75005827960382</v>
      </c>
    </row>
    <row r="138" spans="1:4" x14ac:dyDescent="0.2">
      <c r="A138" s="27"/>
      <c r="B138" s="29" t="s">
        <v>67</v>
      </c>
      <c r="C138" s="27"/>
      <c r="D138" s="14">
        <f t="shared" si="3"/>
        <v>0</v>
      </c>
    </row>
    <row r="139" spans="1:4" x14ac:dyDescent="0.2">
      <c r="A139" s="27"/>
      <c r="B139" s="29" t="s">
        <v>68</v>
      </c>
      <c r="C139" s="9"/>
      <c r="D139" s="14">
        <f t="shared" si="3"/>
        <v>0</v>
      </c>
    </row>
    <row r="140" spans="1:4" x14ac:dyDescent="0.2">
      <c r="A140" s="27"/>
      <c r="B140" s="29" t="s">
        <v>98</v>
      </c>
      <c r="C140" s="9">
        <v>0.05</v>
      </c>
      <c r="D140" s="14">
        <f t="shared" si="3"/>
        <v>331.25009713267309</v>
      </c>
    </row>
    <row r="141" spans="1:4" ht="13.5" x14ac:dyDescent="0.2">
      <c r="A141" s="85" t="s">
        <v>36</v>
      </c>
      <c r="B141" s="97"/>
      <c r="C141" s="19">
        <f>(1+C133)*(1+C132)/(1-C134)-1</f>
        <v>0.2391614668856048</v>
      </c>
      <c r="D141" s="17">
        <f>SUM(D132:D134)</f>
        <v>1278.6430381080061</v>
      </c>
    </row>
    <row r="144" spans="1:4" x14ac:dyDescent="0.2">
      <c r="A144" s="93" t="s">
        <v>69</v>
      </c>
      <c r="B144" s="93"/>
      <c r="C144" s="93"/>
      <c r="D144" s="93"/>
    </row>
    <row r="146" spans="1:4" x14ac:dyDescent="0.2">
      <c r="A146" s="28"/>
      <c r="B146" s="89" t="s">
        <v>70</v>
      </c>
      <c r="C146" s="89"/>
      <c r="D146" s="28" t="s">
        <v>3</v>
      </c>
    </row>
    <row r="147" spans="1:4" x14ac:dyDescent="0.2">
      <c r="A147" s="28" t="s">
        <v>4</v>
      </c>
      <c r="B147" s="90" t="s">
        <v>1</v>
      </c>
      <c r="C147" s="90"/>
      <c r="D147" s="20">
        <f>D26</f>
        <v>2731.4975045454544</v>
      </c>
    </row>
    <row r="148" spans="1:4" x14ac:dyDescent="0.2">
      <c r="A148" s="28" t="s">
        <v>6</v>
      </c>
      <c r="B148" s="90" t="s">
        <v>17</v>
      </c>
      <c r="C148" s="90"/>
      <c r="D148" s="20">
        <f>D73</f>
        <v>2070.5113999999999</v>
      </c>
    </row>
    <row r="149" spans="1:4" x14ac:dyDescent="0.2">
      <c r="A149" s="28" t="s">
        <v>8</v>
      </c>
      <c r="B149" s="90" t="s">
        <v>44</v>
      </c>
      <c r="C149" s="90"/>
      <c r="D149" s="20">
        <f>D85</f>
        <v>168.22</v>
      </c>
    </row>
    <row r="150" spans="1:4" x14ac:dyDescent="0.2">
      <c r="A150" s="28" t="s">
        <v>10</v>
      </c>
      <c r="B150" s="90" t="s">
        <v>51</v>
      </c>
      <c r="C150" s="90"/>
      <c r="D150" s="20">
        <f>D115</f>
        <v>95.96</v>
      </c>
    </row>
    <row r="151" spans="1:4" x14ac:dyDescent="0.2">
      <c r="A151" s="28" t="s">
        <v>12</v>
      </c>
      <c r="B151" s="90" t="s">
        <v>56</v>
      </c>
      <c r="C151" s="90"/>
      <c r="D151" s="20">
        <f>D126</f>
        <v>280.17</v>
      </c>
    </row>
    <row r="152" spans="1:4" x14ac:dyDescent="0.2">
      <c r="A152" s="89" t="s">
        <v>95</v>
      </c>
      <c r="B152" s="89"/>
      <c r="C152" s="89"/>
      <c r="D152" s="21">
        <f>SUM(D147:D151)</f>
        <v>5346.3589045454546</v>
      </c>
    </row>
    <row r="153" spans="1:4" x14ac:dyDescent="0.2">
      <c r="A153" s="28" t="s">
        <v>31</v>
      </c>
      <c r="B153" s="90" t="s">
        <v>71</v>
      </c>
      <c r="C153" s="90"/>
      <c r="D153" s="22">
        <f>D141</f>
        <v>1278.6430381080061</v>
      </c>
    </row>
    <row r="154" spans="1:4" x14ac:dyDescent="0.2">
      <c r="A154" s="89" t="s">
        <v>72</v>
      </c>
      <c r="B154" s="89"/>
      <c r="C154" s="89"/>
      <c r="D154" s="21">
        <f>SUM(D152:D153)</f>
        <v>6625.0019426534609</v>
      </c>
    </row>
  </sheetData>
  <mergeCells count="73">
    <mergeCell ref="C10:D10"/>
    <mergeCell ref="A1:D1"/>
    <mergeCell ref="A3:D3"/>
    <mergeCell ref="A5:B5"/>
    <mergeCell ref="A6:B6"/>
    <mergeCell ref="A8:D8"/>
    <mergeCell ref="B24:C24"/>
    <mergeCell ref="C11:D11"/>
    <mergeCell ref="C12:D12"/>
    <mergeCell ref="C13:D13"/>
    <mergeCell ref="C14:D14"/>
    <mergeCell ref="A16:D16"/>
    <mergeCell ref="B18:C18"/>
    <mergeCell ref="B19:C19"/>
    <mergeCell ref="B20:C20"/>
    <mergeCell ref="B21:C21"/>
    <mergeCell ref="B22:C22"/>
    <mergeCell ref="B23:C23"/>
    <mergeCell ref="B58:C58"/>
    <mergeCell ref="B25:C25"/>
    <mergeCell ref="A26:C26"/>
    <mergeCell ref="A29:D29"/>
    <mergeCell ref="A31:D31"/>
    <mergeCell ref="B33:C33"/>
    <mergeCell ref="A37:B37"/>
    <mergeCell ref="A40:D40"/>
    <mergeCell ref="A51:B51"/>
    <mergeCell ref="A54:D54"/>
    <mergeCell ref="B56:C56"/>
    <mergeCell ref="B57:C57"/>
    <mergeCell ref="A73:C73"/>
    <mergeCell ref="B60:C60"/>
    <mergeCell ref="B61:C61"/>
    <mergeCell ref="A64:C64"/>
    <mergeCell ref="A67:D67"/>
    <mergeCell ref="B69:C69"/>
    <mergeCell ref="B70:C70"/>
    <mergeCell ref="B71:C71"/>
    <mergeCell ref="B72:C72"/>
    <mergeCell ref="B63:C63"/>
    <mergeCell ref="A110:D110"/>
    <mergeCell ref="A76:D76"/>
    <mergeCell ref="B78:C78"/>
    <mergeCell ref="A85:C85"/>
    <mergeCell ref="A88:D88"/>
    <mergeCell ref="A91:D91"/>
    <mergeCell ref="B93:C93"/>
    <mergeCell ref="A100:C100"/>
    <mergeCell ref="A103:D103"/>
    <mergeCell ref="B105:C105"/>
    <mergeCell ref="B106:C106"/>
    <mergeCell ref="A107:C107"/>
    <mergeCell ref="B113:C113"/>
    <mergeCell ref="B114:C114"/>
    <mergeCell ref="A115:C115"/>
    <mergeCell ref="A118:D118"/>
    <mergeCell ref="B120:C120"/>
    <mergeCell ref="A154:C154"/>
    <mergeCell ref="B59:C59"/>
    <mergeCell ref="B62:C62"/>
    <mergeCell ref="B148:C148"/>
    <mergeCell ref="B149:C149"/>
    <mergeCell ref="B150:C150"/>
    <mergeCell ref="B151:C151"/>
    <mergeCell ref="A152:C152"/>
    <mergeCell ref="B153:C153"/>
    <mergeCell ref="A126:C126"/>
    <mergeCell ref="A129:D129"/>
    <mergeCell ref="A141:B141"/>
    <mergeCell ref="A144:D144"/>
    <mergeCell ref="B146:C146"/>
    <mergeCell ref="B147:C147"/>
    <mergeCell ref="B112:C112"/>
  </mergeCells>
  <pageMargins left="0.511811024" right="0.511811024" top="0.78740157499999996" bottom="0.78740157499999996" header="0.31496062000000002" footer="0.31496062000000002"/>
  <pageSetup paperSize="9" scale="8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zoomScale="115" zoomScaleNormal="115" workbookViewId="0">
      <selection activeCell="D124" sqref="D124"/>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112</v>
      </c>
      <c r="B6" s="86"/>
      <c r="C6" s="35" t="s">
        <v>100</v>
      </c>
      <c r="D6" s="35">
        <v>4</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row>
    <row r="23" spans="1:4" x14ac:dyDescent="0.2">
      <c r="A23" s="34" t="s">
        <v>12</v>
      </c>
      <c r="B23" s="90" t="s">
        <v>13</v>
      </c>
      <c r="C23" s="90"/>
      <c r="D23" s="13"/>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148.87</v>
      </c>
    </row>
    <row r="35" spans="1:4" x14ac:dyDescent="0.2">
      <c r="A35" s="34" t="s">
        <v>6</v>
      </c>
      <c r="B35" s="31" t="s">
        <v>117</v>
      </c>
      <c r="C35" s="12">
        <f>TRUNC(((1)/12),4)</f>
        <v>8.3299999999999999E-2</v>
      </c>
      <c r="D35" s="13">
        <f>TRUNC($D$26*C35,2)</f>
        <v>148.87</v>
      </c>
    </row>
    <row r="36" spans="1:4" x14ac:dyDescent="0.2">
      <c r="A36" s="34" t="s">
        <v>8</v>
      </c>
      <c r="B36" s="31"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428.68</v>
      </c>
    </row>
    <row r="44" spans="1:4" x14ac:dyDescent="0.2">
      <c r="A44" s="34" t="s">
        <v>6</v>
      </c>
      <c r="B44" s="31" t="s">
        <v>27</v>
      </c>
      <c r="C44" s="9">
        <v>2.5000000000000001E-2</v>
      </c>
      <c r="D44" s="13">
        <f t="shared" ref="D44:D50" si="0">TRUNC(($D$26+$D$37)*C44,2)</f>
        <v>53.58</v>
      </c>
    </row>
    <row r="45" spans="1:4" x14ac:dyDescent="0.2">
      <c r="A45" s="34" t="s">
        <v>8</v>
      </c>
      <c r="B45" s="31" t="s">
        <v>28</v>
      </c>
      <c r="C45" s="16">
        <v>0.03</v>
      </c>
      <c r="D45" s="13">
        <f t="shared" si="0"/>
        <v>64.3</v>
      </c>
    </row>
    <row r="46" spans="1:4" x14ac:dyDescent="0.2">
      <c r="A46" s="34" t="s">
        <v>10</v>
      </c>
      <c r="B46" s="31" t="s">
        <v>29</v>
      </c>
      <c r="C46" s="9">
        <v>1.4999999999999999E-2</v>
      </c>
      <c r="D46" s="13">
        <f t="shared" si="0"/>
        <v>32.15</v>
      </c>
    </row>
    <row r="47" spans="1:4" x14ac:dyDescent="0.2">
      <c r="A47" s="34" t="s">
        <v>12</v>
      </c>
      <c r="B47" s="31" t="s">
        <v>30</v>
      </c>
      <c r="C47" s="9">
        <v>0.01</v>
      </c>
      <c r="D47" s="13">
        <f t="shared" si="0"/>
        <v>21.43</v>
      </c>
    </row>
    <row r="48" spans="1:4" x14ac:dyDescent="0.2">
      <c r="A48" s="34" t="s">
        <v>31</v>
      </c>
      <c r="B48" s="31" t="s">
        <v>32</v>
      </c>
      <c r="C48" s="9">
        <v>6.0000000000000001E-3</v>
      </c>
      <c r="D48" s="13">
        <f t="shared" si="0"/>
        <v>12.86</v>
      </c>
    </row>
    <row r="49" spans="1:4" x14ac:dyDescent="0.2">
      <c r="A49" s="34" t="s">
        <v>14</v>
      </c>
      <c r="B49" s="31" t="s">
        <v>33</v>
      </c>
      <c r="C49" s="9">
        <v>2E-3</v>
      </c>
      <c r="D49" s="13">
        <f t="shared" si="0"/>
        <v>4.28</v>
      </c>
    </row>
    <row r="50" spans="1:4" x14ac:dyDescent="0.2">
      <c r="A50" s="34" t="s">
        <v>34</v>
      </c>
      <c r="B50" s="31"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(22*2*4.9)-(D19*0.06)</f>
        <v>133.11140000000003</v>
      </c>
    </row>
    <row r="58" spans="1:4" x14ac:dyDescent="0.2">
      <c r="A58" s="34" t="s">
        <v>6</v>
      </c>
      <c r="B58" s="90" t="s">
        <v>41</v>
      </c>
      <c r="C58" s="90"/>
      <c r="D58" s="13">
        <f>16*22*0.85</f>
        <v>299.2</v>
      </c>
    </row>
    <row r="59" spans="1:4" x14ac:dyDescent="0.2">
      <c r="A59" s="34" t="s">
        <v>8</v>
      </c>
      <c r="B59" s="90" t="s">
        <v>110</v>
      </c>
      <c r="C59" s="90"/>
      <c r="D59" s="13"/>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v>8.1300000000000008</v>
      </c>
    </row>
    <row r="64" spans="1:4" x14ac:dyDescent="0.2">
      <c r="A64" s="89" t="s">
        <v>16</v>
      </c>
      <c r="B64" s="89"/>
      <c r="C64" s="89"/>
      <c r="D64" s="17">
        <f>SUM(D57:D63)</f>
        <v>448.09140000000002</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356.16</v>
      </c>
    </row>
    <row r="71" spans="1:4" x14ac:dyDescent="0.2">
      <c r="A71" s="34" t="s">
        <v>23</v>
      </c>
      <c r="B71" s="90" t="s">
        <v>24</v>
      </c>
      <c r="C71" s="90"/>
      <c r="D71" s="14">
        <f>D51</f>
        <v>788.74999999999989</v>
      </c>
    </row>
    <row r="72" spans="1:4" x14ac:dyDescent="0.2">
      <c r="A72" s="34" t="s">
        <v>38</v>
      </c>
      <c r="B72" s="90" t="s">
        <v>39</v>
      </c>
      <c r="C72" s="90"/>
      <c r="D72" s="14">
        <f>D64</f>
        <v>448.09140000000002</v>
      </c>
    </row>
    <row r="73" spans="1:4" x14ac:dyDescent="0.2">
      <c r="A73" s="89" t="s">
        <v>16</v>
      </c>
      <c r="B73" s="89"/>
      <c r="C73" s="89"/>
      <c r="D73" s="17">
        <f>SUM(D70:D72)</f>
        <v>1593.0013999999999</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7.32</v>
      </c>
    </row>
    <row r="80" spans="1:4" x14ac:dyDescent="0.2">
      <c r="A80" s="34" t="s">
        <v>6</v>
      </c>
      <c r="B80" s="10" t="s">
        <v>47</v>
      </c>
      <c r="C80" s="9">
        <v>0.08</v>
      </c>
      <c r="D80" s="13">
        <f>TRUNC(D79*C80,2)</f>
        <v>0.57999999999999996</v>
      </c>
    </row>
    <row r="81" spans="1:4" x14ac:dyDescent="0.2">
      <c r="A81" s="34" t="s">
        <v>8</v>
      </c>
      <c r="B81" s="10" t="s">
        <v>48</v>
      </c>
      <c r="C81" s="9">
        <f>TRUNC(8%*5%*40%,4)</f>
        <v>1.6000000000000001E-3</v>
      </c>
      <c r="D81" s="13">
        <f>TRUNC($D$26*C81,2)</f>
        <v>2.85</v>
      </c>
    </row>
    <row r="82" spans="1:4" x14ac:dyDescent="0.2">
      <c r="A82" s="34" t="s">
        <v>10</v>
      </c>
      <c r="B82" s="10" t="s">
        <v>49</v>
      </c>
      <c r="C82" s="9">
        <f>TRUNC(((7/30)/12)*95%,4)</f>
        <v>1.84E-2</v>
      </c>
      <c r="D82" s="13">
        <f>TRUNC($D$26*C82,2)</f>
        <v>32.880000000000003</v>
      </c>
    </row>
    <row r="83" spans="1:4" ht="25.5" x14ac:dyDescent="0.2">
      <c r="A83" s="34" t="s">
        <v>12</v>
      </c>
      <c r="B83" s="10" t="s">
        <v>94</v>
      </c>
      <c r="C83" s="9">
        <f>C51</f>
        <v>0.36800000000000005</v>
      </c>
      <c r="D83" s="13">
        <f>TRUNC(D82*C83,2)</f>
        <v>12.09</v>
      </c>
    </row>
    <row r="84" spans="1:4" x14ac:dyDescent="0.2">
      <c r="A84" s="34"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f>
        <v>9.1999999999999998E-3</v>
      </c>
      <c r="D94" s="13">
        <f t="shared" ref="D94:D99" si="2">TRUNC(($D$26+$D$73+$D$85)*C94,2)</f>
        <v>32.11</v>
      </c>
    </row>
    <row r="95" spans="1:4" x14ac:dyDescent="0.2">
      <c r="A95" s="34" t="s">
        <v>6</v>
      </c>
      <c r="B95" s="31" t="s">
        <v>81</v>
      </c>
      <c r="C95" s="9">
        <f>TRUNC(((2/30)/12),4)</f>
        <v>5.4999999999999997E-3</v>
      </c>
      <c r="D95" s="13">
        <f t="shared" si="2"/>
        <v>19.190000000000001</v>
      </c>
    </row>
    <row r="96" spans="1:4" x14ac:dyDescent="0.2">
      <c r="A96" s="34" t="s">
        <v>8</v>
      </c>
      <c r="B96" s="31" t="s">
        <v>82</v>
      </c>
      <c r="C96" s="9">
        <f>TRUNC(((5/30)/12)*2%,4)</f>
        <v>2.0000000000000001E-4</v>
      </c>
      <c r="D96" s="13">
        <f t="shared" si="2"/>
        <v>0.69</v>
      </c>
    </row>
    <row r="97" spans="1:4" x14ac:dyDescent="0.2">
      <c r="A97" s="34" t="s">
        <v>10</v>
      </c>
      <c r="B97" s="31" t="s">
        <v>83</v>
      </c>
      <c r="C97" s="9">
        <f>TRUNC(((15/30)/12)*8%,4)</f>
        <v>3.3E-3</v>
      </c>
      <c r="D97" s="13">
        <f t="shared" si="2"/>
        <v>11.51</v>
      </c>
    </row>
    <row r="98" spans="1:4" x14ac:dyDescent="0.2">
      <c r="A98" s="34" t="s">
        <v>12</v>
      </c>
      <c r="B98" s="31" t="s">
        <v>84</v>
      </c>
      <c r="C98" s="9">
        <f>((1+1/3)/12)*3%*(4/12)</f>
        <v>1.1111111111111109E-3</v>
      </c>
      <c r="D98" s="13">
        <f t="shared" si="2"/>
        <v>3.87</v>
      </c>
    </row>
    <row r="99" spans="1:4" x14ac:dyDescent="0.2">
      <c r="A99" s="34" t="s">
        <v>31</v>
      </c>
      <c r="B99" s="31" t="s">
        <v>85</v>
      </c>
      <c r="C99" s="9"/>
      <c r="D99" s="13">
        <f t="shared" si="2"/>
        <v>0</v>
      </c>
    </row>
    <row r="100" spans="1:4" x14ac:dyDescent="0.2">
      <c r="A100" s="89" t="s">
        <v>36</v>
      </c>
      <c r="B100" s="89"/>
      <c r="C100" s="89"/>
      <c r="D100" s="17">
        <f>SUM(D94:D99)</f>
        <v>67.36999999999999</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67.36999999999999</v>
      </c>
    </row>
    <row r="114" spans="1:4" x14ac:dyDescent="0.2">
      <c r="A114" s="34" t="s">
        <v>53</v>
      </c>
      <c r="B114" s="90" t="s">
        <v>87</v>
      </c>
      <c r="C114" s="90"/>
      <c r="D114" s="14">
        <f>D107</f>
        <v>0</v>
      </c>
    </row>
    <row r="115" spans="1:4" x14ac:dyDescent="0.2">
      <c r="A115" s="89" t="s">
        <v>16</v>
      </c>
      <c r="B115" s="89"/>
      <c r="C115" s="89"/>
      <c r="D115" s="17">
        <f>SUM(D113:D114)</f>
        <v>67.36999999999999</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105.95</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280.17</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230.27066399999998</v>
      </c>
    </row>
    <row r="133" spans="1:4" x14ac:dyDescent="0.2">
      <c r="A133" s="34" t="s">
        <v>6</v>
      </c>
      <c r="B133" s="31" t="s">
        <v>64</v>
      </c>
      <c r="C133" s="9">
        <v>6.7900000000000002E-2</v>
      </c>
      <c r="D133" s="13">
        <f>(D152+D132)*C133</f>
        <v>276.22501284560002</v>
      </c>
    </row>
    <row r="134" spans="1:4" x14ac:dyDescent="0.2">
      <c r="A134" s="34" t="s">
        <v>8</v>
      </c>
      <c r="B134" s="31" t="s">
        <v>65</v>
      </c>
      <c r="C134" s="12">
        <f>SUM(C135:C140)</f>
        <v>8.6499999999999994E-2</v>
      </c>
      <c r="D134" s="13">
        <f>(D152+D132+D133)*C134/(1-C134)</f>
        <v>411.36881953710389</v>
      </c>
    </row>
    <row r="135" spans="1:4" x14ac:dyDescent="0.2">
      <c r="A135" s="34"/>
      <c r="B135" s="31" t="s">
        <v>66</v>
      </c>
      <c r="C135" s="9"/>
      <c r="D135" s="14">
        <f>$D$154*C135</f>
        <v>0</v>
      </c>
    </row>
    <row r="136" spans="1:4" x14ac:dyDescent="0.2">
      <c r="A136" s="34"/>
      <c r="B136" s="31" t="s">
        <v>96</v>
      </c>
      <c r="C136" s="9">
        <v>6.4999999999999997E-3</v>
      </c>
      <c r="D136" s="14">
        <f t="shared" ref="D136:D140" si="3">$D$154*C136</f>
        <v>30.912107826487571</v>
      </c>
    </row>
    <row r="137" spans="1:4" x14ac:dyDescent="0.2">
      <c r="A137" s="34"/>
      <c r="B137" s="31" t="s">
        <v>97</v>
      </c>
      <c r="C137" s="9">
        <v>0.03</v>
      </c>
      <c r="D137" s="14">
        <f t="shared" si="3"/>
        <v>142.67126689148111</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237.78544481913519</v>
      </c>
    </row>
    <row r="141" spans="1:4" ht="13.5" x14ac:dyDescent="0.2">
      <c r="A141" s="85" t="s">
        <v>36</v>
      </c>
      <c r="B141" s="97"/>
      <c r="C141" s="19">
        <f>(1+C133)*(1+C132)/(1-C134)-1</f>
        <v>0.2391614668856048</v>
      </c>
      <c r="D141" s="17">
        <f>SUM(D132:D134)</f>
        <v>917.86449638270392</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1787.2529999999999</v>
      </c>
    </row>
    <row r="148" spans="1:4" x14ac:dyDescent="0.2">
      <c r="A148" s="32" t="s">
        <v>6</v>
      </c>
      <c r="B148" s="90" t="s">
        <v>17</v>
      </c>
      <c r="C148" s="90"/>
      <c r="D148" s="20">
        <f>D73</f>
        <v>1593.0013999999999</v>
      </c>
    </row>
    <row r="149" spans="1:4" x14ac:dyDescent="0.2">
      <c r="A149" s="32" t="s">
        <v>8</v>
      </c>
      <c r="B149" s="90" t="s">
        <v>44</v>
      </c>
      <c r="C149" s="90"/>
      <c r="D149" s="20">
        <f>D85</f>
        <v>110.05</v>
      </c>
    </row>
    <row r="150" spans="1:4" x14ac:dyDescent="0.2">
      <c r="A150" s="32" t="s">
        <v>10</v>
      </c>
      <c r="B150" s="90" t="s">
        <v>51</v>
      </c>
      <c r="C150" s="90"/>
      <c r="D150" s="20">
        <f>D115</f>
        <v>67.36999999999999</v>
      </c>
    </row>
    <row r="151" spans="1:4" x14ac:dyDescent="0.2">
      <c r="A151" s="32" t="s">
        <v>12</v>
      </c>
      <c r="B151" s="90" t="s">
        <v>56</v>
      </c>
      <c r="C151" s="90"/>
      <c r="D151" s="20">
        <f>D126</f>
        <v>280.17</v>
      </c>
    </row>
    <row r="152" spans="1:4" x14ac:dyDescent="0.2">
      <c r="A152" s="89" t="s">
        <v>95</v>
      </c>
      <c r="B152" s="89"/>
      <c r="C152" s="89"/>
      <c r="D152" s="21">
        <f>SUM(D147:D151)</f>
        <v>3837.8444</v>
      </c>
    </row>
    <row r="153" spans="1:4" x14ac:dyDescent="0.2">
      <c r="A153" s="32" t="s">
        <v>31</v>
      </c>
      <c r="B153" s="90" t="s">
        <v>71</v>
      </c>
      <c r="C153" s="90"/>
      <c r="D153" s="22">
        <f>D141</f>
        <v>917.86449638270392</v>
      </c>
    </row>
    <row r="154" spans="1:4" x14ac:dyDescent="0.2">
      <c r="A154" s="89" t="s">
        <v>72</v>
      </c>
      <c r="B154" s="89"/>
      <c r="C154" s="89"/>
      <c r="D154" s="21">
        <f>SUM(D152:D153)</f>
        <v>4755.7088963827036</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40" zoomScale="115" zoomScaleNormal="115" workbookViewId="0">
      <selection activeCell="D57" sqref="D57"/>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115</v>
      </c>
      <c r="B6" s="86"/>
      <c r="C6" s="35" t="s">
        <v>100</v>
      </c>
      <c r="D6" s="35">
        <v>1</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row>
    <row r="23" spans="1:4" x14ac:dyDescent="0.2">
      <c r="A23" s="34" t="s">
        <v>12</v>
      </c>
      <c r="B23" s="90" t="s">
        <v>13</v>
      </c>
      <c r="C23" s="90"/>
      <c r="D23" s="13"/>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148.87</v>
      </c>
    </row>
    <row r="35" spans="1:4" x14ac:dyDescent="0.2">
      <c r="A35" s="34" t="s">
        <v>6</v>
      </c>
      <c r="B35" s="31" t="s">
        <v>117</v>
      </c>
      <c r="C35" s="12">
        <f>TRUNC(((1)/12),4)</f>
        <v>8.3299999999999999E-2</v>
      </c>
      <c r="D35" s="13">
        <f>TRUNC($D$26*C35,2)</f>
        <v>148.87</v>
      </c>
    </row>
    <row r="36" spans="1:4" x14ac:dyDescent="0.2">
      <c r="A36" s="34" t="s">
        <v>8</v>
      </c>
      <c r="B36" s="31"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428.68</v>
      </c>
    </row>
    <row r="44" spans="1:4" x14ac:dyDescent="0.2">
      <c r="A44" s="34" t="s">
        <v>6</v>
      </c>
      <c r="B44" s="31" t="s">
        <v>27</v>
      </c>
      <c r="C44" s="9">
        <v>2.5000000000000001E-2</v>
      </c>
      <c r="D44" s="13">
        <f t="shared" ref="D44:D50" si="0">TRUNC(($D$26+$D$37)*C44,2)</f>
        <v>53.58</v>
      </c>
    </row>
    <row r="45" spans="1:4" x14ac:dyDescent="0.2">
      <c r="A45" s="34" t="s">
        <v>8</v>
      </c>
      <c r="B45" s="31" t="s">
        <v>28</v>
      </c>
      <c r="C45" s="16">
        <v>0.03</v>
      </c>
      <c r="D45" s="13">
        <f t="shared" si="0"/>
        <v>64.3</v>
      </c>
    </row>
    <row r="46" spans="1:4" x14ac:dyDescent="0.2">
      <c r="A46" s="34" t="s">
        <v>10</v>
      </c>
      <c r="B46" s="31" t="s">
        <v>29</v>
      </c>
      <c r="C46" s="9">
        <v>1.4999999999999999E-2</v>
      </c>
      <c r="D46" s="13">
        <f t="shared" si="0"/>
        <v>32.15</v>
      </c>
    </row>
    <row r="47" spans="1:4" x14ac:dyDescent="0.2">
      <c r="A47" s="34" t="s">
        <v>12</v>
      </c>
      <c r="B47" s="31" t="s">
        <v>30</v>
      </c>
      <c r="C47" s="9">
        <v>0.01</v>
      </c>
      <c r="D47" s="13">
        <f t="shared" si="0"/>
        <v>21.43</v>
      </c>
    </row>
    <row r="48" spans="1:4" x14ac:dyDescent="0.2">
      <c r="A48" s="34" t="s">
        <v>31</v>
      </c>
      <c r="B48" s="31" t="s">
        <v>32</v>
      </c>
      <c r="C48" s="9">
        <v>6.0000000000000001E-3</v>
      </c>
      <c r="D48" s="13">
        <f t="shared" si="0"/>
        <v>12.86</v>
      </c>
    </row>
    <row r="49" spans="1:4" x14ac:dyDescent="0.2">
      <c r="A49" s="34" t="s">
        <v>14</v>
      </c>
      <c r="B49" s="31" t="s">
        <v>33</v>
      </c>
      <c r="C49" s="9">
        <v>2E-3</v>
      </c>
      <c r="D49" s="13">
        <f t="shared" si="0"/>
        <v>4.28</v>
      </c>
    </row>
    <row r="50" spans="1:4" x14ac:dyDescent="0.2">
      <c r="A50" s="34" t="s">
        <v>34</v>
      </c>
      <c r="B50" s="31"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(22*2*4.9)-(D19*0.06)</f>
        <v>133.11140000000003</v>
      </c>
    </row>
    <row r="58" spans="1:4" x14ac:dyDescent="0.2">
      <c r="A58" s="34" t="s">
        <v>6</v>
      </c>
      <c r="B58" s="90" t="s">
        <v>41</v>
      </c>
      <c r="C58" s="90"/>
      <c r="D58" s="13">
        <f>16*22*0.85</f>
        <v>299.2</v>
      </c>
    </row>
    <row r="59" spans="1:4" x14ac:dyDescent="0.2">
      <c r="A59" s="34" t="s">
        <v>8</v>
      </c>
      <c r="B59" s="90" t="s">
        <v>110</v>
      </c>
      <c r="C59" s="90"/>
      <c r="D59" s="13"/>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v>8.1300000000000008</v>
      </c>
    </row>
    <row r="64" spans="1:4" x14ac:dyDescent="0.2">
      <c r="A64" s="89" t="s">
        <v>16</v>
      </c>
      <c r="B64" s="89"/>
      <c r="C64" s="89"/>
      <c r="D64" s="17">
        <f>SUM(D57:D63)</f>
        <v>448.09140000000002</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356.16</v>
      </c>
    </row>
    <row r="71" spans="1:4" x14ac:dyDescent="0.2">
      <c r="A71" s="34" t="s">
        <v>23</v>
      </c>
      <c r="B71" s="90" t="s">
        <v>24</v>
      </c>
      <c r="C71" s="90"/>
      <c r="D71" s="14">
        <f>D51</f>
        <v>788.74999999999989</v>
      </c>
    </row>
    <row r="72" spans="1:4" x14ac:dyDescent="0.2">
      <c r="A72" s="34" t="s">
        <v>38</v>
      </c>
      <c r="B72" s="90" t="s">
        <v>39</v>
      </c>
      <c r="C72" s="90"/>
      <c r="D72" s="14">
        <f>D64</f>
        <v>448.09140000000002</v>
      </c>
    </row>
    <row r="73" spans="1:4" x14ac:dyDescent="0.2">
      <c r="A73" s="89" t="s">
        <v>16</v>
      </c>
      <c r="B73" s="89"/>
      <c r="C73" s="89"/>
      <c r="D73" s="17">
        <f>SUM(D70:D72)</f>
        <v>1593.0013999999999</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7.32</v>
      </c>
    </row>
    <row r="80" spans="1:4" x14ac:dyDescent="0.2">
      <c r="A80" s="34" t="s">
        <v>6</v>
      </c>
      <c r="B80" s="10" t="s">
        <v>47</v>
      </c>
      <c r="C80" s="9">
        <v>0.08</v>
      </c>
      <c r="D80" s="13">
        <f>TRUNC(D79*C80,2)</f>
        <v>0.57999999999999996</v>
      </c>
    </row>
    <row r="81" spans="1:4" x14ac:dyDescent="0.2">
      <c r="A81" s="34" t="s">
        <v>8</v>
      </c>
      <c r="B81" s="10" t="s">
        <v>48</v>
      </c>
      <c r="C81" s="9">
        <f>TRUNC(8%*5%*40%,4)</f>
        <v>1.6000000000000001E-3</v>
      </c>
      <c r="D81" s="13">
        <f>TRUNC($D$26*C81,2)</f>
        <v>2.85</v>
      </c>
    </row>
    <row r="82" spans="1:4" x14ac:dyDescent="0.2">
      <c r="A82" s="34" t="s">
        <v>10</v>
      </c>
      <c r="B82" s="10" t="s">
        <v>49</v>
      </c>
      <c r="C82" s="9">
        <f>TRUNC(((7/30)/12)*95%,4)</f>
        <v>1.84E-2</v>
      </c>
      <c r="D82" s="13">
        <f>TRUNC($D$26*C82,2)</f>
        <v>32.880000000000003</v>
      </c>
    </row>
    <row r="83" spans="1:4" ht="25.5" x14ac:dyDescent="0.2">
      <c r="A83" s="34" t="s">
        <v>12</v>
      </c>
      <c r="B83" s="10" t="s">
        <v>94</v>
      </c>
      <c r="C83" s="9">
        <f>C51</f>
        <v>0.36800000000000005</v>
      </c>
      <c r="D83" s="13">
        <f>TRUNC(D82*C83,2)</f>
        <v>12.09</v>
      </c>
    </row>
    <row r="84" spans="1:4" x14ac:dyDescent="0.2">
      <c r="A84" s="34"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f>
        <v>9.1999999999999998E-3</v>
      </c>
      <c r="D94" s="13">
        <f t="shared" ref="D94:D99" si="2">TRUNC(($D$26+$D$73+$D$85)*C94,2)</f>
        <v>32.11</v>
      </c>
    </row>
    <row r="95" spans="1:4" x14ac:dyDescent="0.2">
      <c r="A95" s="34" t="s">
        <v>6</v>
      </c>
      <c r="B95" s="31" t="s">
        <v>81</v>
      </c>
      <c r="C95" s="9">
        <f>TRUNC(((2/30)/12),4)</f>
        <v>5.4999999999999997E-3</v>
      </c>
      <c r="D95" s="13">
        <f t="shared" si="2"/>
        <v>19.190000000000001</v>
      </c>
    </row>
    <row r="96" spans="1:4" x14ac:dyDescent="0.2">
      <c r="A96" s="34" t="s">
        <v>8</v>
      </c>
      <c r="B96" s="31" t="s">
        <v>82</v>
      </c>
      <c r="C96" s="9">
        <f>TRUNC(((5/30)/12)*2%,4)</f>
        <v>2.0000000000000001E-4</v>
      </c>
      <c r="D96" s="13">
        <f t="shared" si="2"/>
        <v>0.69</v>
      </c>
    </row>
    <row r="97" spans="1:4" x14ac:dyDescent="0.2">
      <c r="A97" s="34" t="s">
        <v>10</v>
      </c>
      <c r="B97" s="31" t="s">
        <v>83</v>
      </c>
      <c r="C97" s="9">
        <f>TRUNC(((15/30)/12)*8%,4)</f>
        <v>3.3E-3</v>
      </c>
      <c r="D97" s="13">
        <f t="shared" si="2"/>
        <v>11.51</v>
      </c>
    </row>
    <row r="98" spans="1:4" x14ac:dyDescent="0.2">
      <c r="A98" s="34" t="s">
        <v>12</v>
      </c>
      <c r="B98" s="31" t="s">
        <v>84</v>
      </c>
      <c r="C98" s="9">
        <f>((1+1/3)/12)*3%*(4/12)</f>
        <v>1.1111111111111109E-3</v>
      </c>
      <c r="D98" s="13">
        <f t="shared" si="2"/>
        <v>3.87</v>
      </c>
    </row>
    <row r="99" spans="1:4" x14ac:dyDescent="0.2">
      <c r="A99" s="34" t="s">
        <v>31</v>
      </c>
      <c r="B99" s="31" t="s">
        <v>85</v>
      </c>
      <c r="C99" s="9"/>
      <c r="D99" s="13">
        <f t="shared" si="2"/>
        <v>0</v>
      </c>
    </row>
    <row r="100" spans="1:4" x14ac:dyDescent="0.2">
      <c r="A100" s="89" t="s">
        <v>36</v>
      </c>
      <c r="B100" s="89"/>
      <c r="C100" s="89"/>
      <c r="D100" s="17">
        <f>SUM(D94:D99)</f>
        <v>67.36999999999999</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67.36999999999999</v>
      </c>
    </row>
    <row r="114" spans="1:4" x14ac:dyDescent="0.2">
      <c r="A114" s="34" t="s">
        <v>53</v>
      </c>
      <c r="B114" s="90" t="s">
        <v>87</v>
      </c>
      <c r="C114" s="90"/>
      <c r="D114" s="14">
        <f>D107</f>
        <v>0</v>
      </c>
    </row>
    <row r="115" spans="1:4" x14ac:dyDescent="0.2">
      <c r="A115" s="89" t="s">
        <v>16</v>
      </c>
      <c r="B115" s="89"/>
      <c r="C115" s="89"/>
      <c r="D115" s="17">
        <f>SUM(D113:D114)</f>
        <v>67.36999999999999</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233.03126399999996</v>
      </c>
    </row>
    <row r="133" spans="1:4" x14ac:dyDescent="0.2">
      <c r="A133" s="34" t="s">
        <v>6</v>
      </c>
      <c r="B133" s="31" t="s">
        <v>64</v>
      </c>
      <c r="C133" s="9">
        <v>6.7900000000000002E-2</v>
      </c>
      <c r="D133" s="13">
        <f>(D152+D132)*C133</f>
        <v>279.53653658559995</v>
      </c>
    </row>
    <row r="134" spans="1:4" x14ac:dyDescent="0.2">
      <c r="A134" s="34" t="s">
        <v>8</v>
      </c>
      <c r="B134" s="31" t="s">
        <v>65</v>
      </c>
      <c r="C134" s="12">
        <f>SUM(C135:C140)</f>
        <v>8.6499999999999994E-2</v>
      </c>
      <c r="D134" s="13">
        <f>(D152+D132+D133)*C134/(1-C134)</f>
        <v>416.30051488851046</v>
      </c>
    </row>
    <row r="135" spans="1:4" x14ac:dyDescent="0.2">
      <c r="A135" s="34"/>
      <c r="B135" s="31" t="s">
        <v>66</v>
      </c>
      <c r="C135" s="9"/>
      <c r="D135" s="14">
        <f>$D$154*C135</f>
        <v>0</v>
      </c>
    </row>
    <row r="136" spans="1:4" x14ac:dyDescent="0.2">
      <c r="A136" s="34"/>
      <c r="B136" s="31" t="s">
        <v>96</v>
      </c>
      <c r="C136" s="9">
        <v>6.4999999999999997E-3</v>
      </c>
      <c r="D136" s="14">
        <f t="shared" ref="D136:D140" si="3">$D$154*C136</f>
        <v>31.282697650581717</v>
      </c>
    </row>
    <row r="137" spans="1:4" x14ac:dyDescent="0.2">
      <c r="A137" s="34"/>
      <c r="B137" s="31" t="s">
        <v>97</v>
      </c>
      <c r="C137" s="9">
        <v>0.03</v>
      </c>
      <c r="D137" s="14">
        <f t="shared" si="3"/>
        <v>144.38168146422331</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240.63613577370552</v>
      </c>
    </row>
    <row r="141" spans="1:4" ht="13.5" x14ac:dyDescent="0.2">
      <c r="A141" s="85" t="s">
        <v>36</v>
      </c>
      <c r="B141" s="97"/>
      <c r="C141" s="19">
        <f>(1+C133)*(1+C132)/(1-C134)-1</f>
        <v>0.2391614668856048</v>
      </c>
      <c r="D141" s="17">
        <f>SUM(D132:D134)</f>
        <v>928.86831547411043</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1787.2529999999999</v>
      </c>
    </row>
    <row r="148" spans="1:4" x14ac:dyDescent="0.2">
      <c r="A148" s="32" t="s">
        <v>6</v>
      </c>
      <c r="B148" s="90" t="s">
        <v>17</v>
      </c>
      <c r="C148" s="90"/>
      <c r="D148" s="20">
        <f>D73</f>
        <v>1593.0013999999999</v>
      </c>
    </row>
    <row r="149" spans="1:4" x14ac:dyDescent="0.2">
      <c r="A149" s="32" t="s">
        <v>8</v>
      </c>
      <c r="B149" s="90" t="s">
        <v>44</v>
      </c>
      <c r="C149" s="90"/>
      <c r="D149" s="20">
        <f>D85</f>
        <v>110.05</v>
      </c>
    </row>
    <row r="150" spans="1:4" x14ac:dyDescent="0.2">
      <c r="A150" s="32" t="s">
        <v>10</v>
      </c>
      <c r="B150" s="90" t="s">
        <v>51</v>
      </c>
      <c r="C150" s="90"/>
      <c r="D150" s="20">
        <f>D115</f>
        <v>67.36999999999999</v>
      </c>
    </row>
    <row r="151" spans="1:4" x14ac:dyDescent="0.2">
      <c r="A151" s="32" t="s">
        <v>12</v>
      </c>
      <c r="B151" s="90" t="s">
        <v>56</v>
      </c>
      <c r="C151" s="90"/>
      <c r="D151" s="20">
        <f>D126</f>
        <v>326.17999999999995</v>
      </c>
    </row>
    <row r="152" spans="1:4" x14ac:dyDescent="0.2">
      <c r="A152" s="89" t="s">
        <v>95</v>
      </c>
      <c r="B152" s="89"/>
      <c r="C152" s="89"/>
      <c r="D152" s="21">
        <f>SUM(D147:D151)</f>
        <v>3883.8543999999997</v>
      </c>
    </row>
    <row r="153" spans="1:4" x14ac:dyDescent="0.2">
      <c r="A153" s="32" t="s">
        <v>31</v>
      </c>
      <c r="B153" s="90" t="s">
        <v>71</v>
      </c>
      <c r="C153" s="90"/>
      <c r="D153" s="22">
        <f>D141</f>
        <v>928.86831547411043</v>
      </c>
    </row>
    <row r="154" spans="1:4" x14ac:dyDescent="0.2">
      <c r="A154" s="89" t="s">
        <v>72</v>
      </c>
      <c r="B154" s="89"/>
      <c r="C154" s="89"/>
      <c r="D154" s="21">
        <f>SUM(D152:D153)</f>
        <v>4812.7227154741104</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zoomScale="115" zoomScaleNormal="115" workbookViewId="0">
      <selection activeCell="D124" sqref="D124"/>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116</v>
      </c>
      <c r="B6" s="86"/>
      <c r="C6" s="35" t="s">
        <v>100</v>
      </c>
      <c r="D6" s="35">
        <v>9</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row>
    <row r="23" spans="1:4" x14ac:dyDescent="0.2">
      <c r="A23" s="34" t="s">
        <v>12</v>
      </c>
      <c r="B23" s="90" t="s">
        <v>13</v>
      </c>
      <c r="C23" s="90"/>
      <c r="D23" s="13"/>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148.87</v>
      </c>
    </row>
    <row r="35" spans="1:4" x14ac:dyDescent="0.2">
      <c r="A35" s="34" t="s">
        <v>6</v>
      </c>
      <c r="B35" s="31" t="s">
        <v>117</v>
      </c>
      <c r="C35" s="12">
        <f>TRUNC(((1)/12),4)</f>
        <v>8.3299999999999999E-2</v>
      </c>
      <c r="D35" s="13">
        <f>TRUNC($D$26*C35,2)</f>
        <v>148.87</v>
      </c>
    </row>
    <row r="36" spans="1:4" x14ac:dyDescent="0.2">
      <c r="A36" s="34" t="s">
        <v>8</v>
      </c>
      <c r="B36" s="31"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428.68</v>
      </c>
    </row>
    <row r="44" spans="1:4" x14ac:dyDescent="0.2">
      <c r="A44" s="34" t="s">
        <v>6</v>
      </c>
      <c r="B44" s="31" t="s">
        <v>27</v>
      </c>
      <c r="C44" s="9">
        <v>2.5000000000000001E-2</v>
      </c>
      <c r="D44" s="13">
        <f t="shared" ref="D44:D50" si="0">TRUNC(($D$26+$D$37)*C44,2)</f>
        <v>53.58</v>
      </c>
    </row>
    <row r="45" spans="1:4" x14ac:dyDescent="0.2">
      <c r="A45" s="34" t="s">
        <v>8</v>
      </c>
      <c r="B45" s="31" t="s">
        <v>28</v>
      </c>
      <c r="C45" s="16">
        <v>0.03</v>
      </c>
      <c r="D45" s="13">
        <f t="shared" si="0"/>
        <v>64.3</v>
      </c>
    </row>
    <row r="46" spans="1:4" x14ac:dyDescent="0.2">
      <c r="A46" s="34" t="s">
        <v>10</v>
      </c>
      <c r="B46" s="31" t="s">
        <v>29</v>
      </c>
      <c r="C46" s="9">
        <v>1.4999999999999999E-2</v>
      </c>
      <c r="D46" s="13">
        <f t="shared" si="0"/>
        <v>32.15</v>
      </c>
    </row>
    <row r="47" spans="1:4" x14ac:dyDescent="0.2">
      <c r="A47" s="34" t="s">
        <v>12</v>
      </c>
      <c r="B47" s="31" t="s">
        <v>30</v>
      </c>
      <c r="C47" s="9">
        <v>0.01</v>
      </c>
      <c r="D47" s="13">
        <f t="shared" si="0"/>
        <v>21.43</v>
      </c>
    </row>
    <row r="48" spans="1:4" x14ac:dyDescent="0.2">
      <c r="A48" s="34" t="s">
        <v>31</v>
      </c>
      <c r="B48" s="31" t="s">
        <v>32</v>
      </c>
      <c r="C48" s="9">
        <v>6.0000000000000001E-3</v>
      </c>
      <c r="D48" s="13">
        <f t="shared" si="0"/>
        <v>12.86</v>
      </c>
    </row>
    <row r="49" spans="1:4" x14ac:dyDescent="0.2">
      <c r="A49" s="34" t="s">
        <v>14</v>
      </c>
      <c r="B49" s="31" t="s">
        <v>33</v>
      </c>
      <c r="C49" s="9">
        <v>2E-3</v>
      </c>
      <c r="D49" s="13">
        <f t="shared" si="0"/>
        <v>4.28</v>
      </c>
    </row>
    <row r="50" spans="1:4" x14ac:dyDescent="0.2">
      <c r="A50" s="34" t="s">
        <v>34</v>
      </c>
      <c r="B50" s="31"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(15*2*4.9)-(D19*0.06)</f>
        <v>64.511400000000009</v>
      </c>
    </row>
    <row r="58" spans="1:4" x14ac:dyDescent="0.2">
      <c r="A58" s="34" t="s">
        <v>6</v>
      </c>
      <c r="B58" s="90" t="s">
        <v>41</v>
      </c>
      <c r="C58" s="90"/>
      <c r="D58" s="13">
        <f>16*15*0.85</f>
        <v>204</v>
      </c>
    </row>
    <row r="59" spans="1:4" x14ac:dyDescent="0.2">
      <c r="A59" s="34" t="s">
        <v>8</v>
      </c>
      <c r="B59" s="90" t="s">
        <v>110</v>
      </c>
      <c r="C59" s="90"/>
      <c r="D59" s="13"/>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f>180/24</f>
        <v>7.5</v>
      </c>
    </row>
    <row r="63" spans="1:4" x14ac:dyDescent="0.2">
      <c r="A63" s="41" t="s">
        <v>14</v>
      </c>
      <c r="B63" s="90" t="s">
        <v>190</v>
      </c>
      <c r="C63" s="90"/>
      <c r="D63" s="13">
        <v>12.19</v>
      </c>
    </row>
    <row r="64" spans="1:4" x14ac:dyDescent="0.2">
      <c r="A64" s="89" t="s">
        <v>16</v>
      </c>
      <c r="B64" s="89"/>
      <c r="C64" s="89"/>
      <c r="D64" s="17">
        <f>SUM(D57:D63)</f>
        <v>295.85139999999996</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356.16</v>
      </c>
    </row>
    <row r="71" spans="1:4" x14ac:dyDescent="0.2">
      <c r="A71" s="34" t="s">
        <v>23</v>
      </c>
      <c r="B71" s="90" t="s">
        <v>24</v>
      </c>
      <c r="C71" s="90"/>
      <c r="D71" s="14">
        <f>D51</f>
        <v>788.74999999999989</v>
      </c>
    </row>
    <row r="72" spans="1:4" x14ac:dyDescent="0.2">
      <c r="A72" s="34" t="s">
        <v>38</v>
      </c>
      <c r="B72" s="90" t="s">
        <v>39</v>
      </c>
      <c r="C72" s="90"/>
      <c r="D72" s="14">
        <f>D64</f>
        <v>295.85139999999996</v>
      </c>
    </row>
    <row r="73" spans="1:4" x14ac:dyDescent="0.2">
      <c r="A73" s="89" t="s">
        <v>16</v>
      </c>
      <c r="B73" s="89"/>
      <c r="C73" s="89"/>
      <c r="D73" s="17">
        <f>SUM(D70:D72)</f>
        <v>1440.7613999999999</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7.32</v>
      </c>
    </row>
    <row r="80" spans="1:4" x14ac:dyDescent="0.2">
      <c r="A80" s="34" t="s">
        <v>6</v>
      </c>
      <c r="B80" s="10" t="s">
        <v>47</v>
      </c>
      <c r="C80" s="9">
        <v>0.08</v>
      </c>
      <c r="D80" s="13">
        <f>TRUNC(D79*C80,2)</f>
        <v>0.57999999999999996</v>
      </c>
    </row>
    <row r="81" spans="1:4" x14ac:dyDescent="0.2">
      <c r="A81" s="34" t="s">
        <v>8</v>
      </c>
      <c r="B81" s="10" t="s">
        <v>48</v>
      </c>
      <c r="C81" s="9">
        <f>TRUNC(8%*5%*40%,4)</f>
        <v>1.6000000000000001E-3</v>
      </c>
      <c r="D81" s="13">
        <f>TRUNC($D$26*C81,2)</f>
        <v>2.85</v>
      </c>
    </row>
    <row r="82" spans="1:4" x14ac:dyDescent="0.2">
      <c r="A82" s="34" t="s">
        <v>10</v>
      </c>
      <c r="B82" s="10" t="s">
        <v>49</v>
      </c>
      <c r="C82" s="9">
        <f>TRUNC(((7/30)/12)*95%,4)</f>
        <v>1.84E-2</v>
      </c>
      <c r="D82" s="13">
        <f>TRUNC($D$26*C82,2)</f>
        <v>32.880000000000003</v>
      </c>
    </row>
    <row r="83" spans="1:4" ht="25.5" x14ac:dyDescent="0.2">
      <c r="A83" s="34" t="s">
        <v>12</v>
      </c>
      <c r="B83" s="10" t="s">
        <v>94</v>
      </c>
      <c r="C83" s="9">
        <f>C51</f>
        <v>0.36800000000000005</v>
      </c>
      <c r="D83" s="13">
        <f>TRUNC(D82*C83,2)</f>
        <v>12.09</v>
      </c>
    </row>
    <row r="84" spans="1:4" x14ac:dyDescent="0.2">
      <c r="A84" s="34"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f>
        <v>9.1999999999999998E-3</v>
      </c>
      <c r="D94" s="13">
        <f t="shared" ref="D94:D99" si="2">TRUNC(($D$26+$D$73+$D$85)*C94,2)</f>
        <v>30.71</v>
      </c>
    </row>
    <row r="95" spans="1:4" x14ac:dyDescent="0.2">
      <c r="A95" s="34" t="s">
        <v>6</v>
      </c>
      <c r="B95" s="31" t="s">
        <v>81</v>
      </c>
      <c r="C95" s="9">
        <f>TRUNC(((2/30)/12),4)</f>
        <v>5.4999999999999997E-3</v>
      </c>
      <c r="D95" s="13">
        <f t="shared" si="2"/>
        <v>18.350000000000001</v>
      </c>
    </row>
    <row r="96" spans="1:4" x14ac:dyDescent="0.2">
      <c r="A96" s="34" t="s">
        <v>8</v>
      </c>
      <c r="B96" s="31" t="s">
        <v>82</v>
      </c>
      <c r="C96" s="9">
        <f>TRUNC(((5/30)/12)*2%,4)</f>
        <v>2.0000000000000001E-4</v>
      </c>
      <c r="D96" s="13">
        <f t="shared" si="2"/>
        <v>0.66</v>
      </c>
    </row>
    <row r="97" spans="1:4" x14ac:dyDescent="0.2">
      <c r="A97" s="34" t="s">
        <v>10</v>
      </c>
      <c r="B97" s="31" t="s">
        <v>83</v>
      </c>
      <c r="C97" s="9">
        <f>TRUNC(((15/30)/12)*8%,4)</f>
        <v>3.3E-3</v>
      </c>
      <c r="D97" s="13">
        <f t="shared" si="2"/>
        <v>11.01</v>
      </c>
    </row>
    <row r="98" spans="1:4" x14ac:dyDescent="0.2">
      <c r="A98" s="34" t="s">
        <v>12</v>
      </c>
      <c r="B98" s="31" t="s">
        <v>84</v>
      </c>
      <c r="C98" s="9">
        <f>((1+1/3)/12)*3%*(4/12)</f>
        <v>1.1111111111111109E-3</v>
      </c>
      <c r="D98" s="13">
        <f t="shared" si="2"/>
        <v>3.7</v>
      </c>
    </row>
    <row r="99" spans="1:4" x14ac:dyDescent="0.2">
      <c r="A99" s="34" t="s">
        <v>31</v>
      </c>
      <c r="B99" s="31" t="s">
        <v>85</v>
      </c>
      <c r="C99" s="9"/>
      <c r="D99" s="13">
        <f t="shared" si="2"/>
        <v>0</v>
      </c>
    </row>
    <row r="100" spans="1:4" x14ac:dyDescent="0.2">
      <c r="A100" s="89" t="s">
        <v>36</v>
      </c>
      <c r="B100" s="89"/>
      <c r="C100" s="89"/>
      <c r="D100" s="17">
        <f>SUM(D94:D99)</f>
        <v>64.429999999999993</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64.429999999999993</v>
      </c>
    </row>
    <row r="114" spans="1:4" x14ac:dyDescent="0.2">
      <c r="A114" s="34" t="s">
        <v>53</v>
      </c>
      <c r="B114" s="90" t="s">
        <v>87</v>
      </c>
      <c r="C114" s="90"/>
      <c r="D114" s="14">
        <f>D107</f>
        <v>0</v>
      </c>
    </row>
    <row r="115" spans="1:4" x14ac:dyDescent="0.2">
      <c r="A115" s="89" t="s">
        <v>16</v>
      </c>
      <c r="B115" s="89"/>
      <c r="C115" s="89"/>
      <c r="D115" s="17">
        <f>SUM(D113:D114)</f>
        <v>64.429999999999993</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223.72046399999999</v>
      </c>
    </row>
    <row r="133" spans="1:4" x14ac:dyDescent="0.2">
      <c r="A133" s="34" t="s">
        <v>6</v>
      </c>
      <c r="B133" s="31" t="s">
        <v>64</v>
      </c>
      <c r="C133" s="9">
        <v>6.7900000000000002E-2</v>
      </c>
      <c r="D133" s="13">
        <f>(D152+D132)*C133</f>
        <v>268.36761126559998</v>
      </c>
    </row>
    <row r="134" spans="1:4" x14ac:dyDescent="0.2">
      <c r="A134" s="34" t="s">
        <v>8</v>
      </c>
      <c r="B134" s="31" t="s">
        <v>65</v>
      </c>
      <c r="C134" s="12">
        <f>SUM(C135:C140)</f>
        <v>8.6499999999999994E-2</v>
      </c>
      <c r="D134" s="13">
        <f>(D152+D132+D133)*C134/(1-C134)</f>
        <v>399.6671637772024</v>
      </c>
    </row>
    <row r="135" spans="1:4" x14ac:dyDescent="0.2">
      <c r="A135" s="34"/>
      <c r="B135" s="31" t="s">
        <v>66</v>
      </c>
      <c r="C135" s="9"/>
      <c r="D135" s="14">
        <f>$D$154*C135</f>
        <v>0</v>
      </c>
    </row>
    <row r="136" spans="1:4" x14ac:dyDescent="0.2">
      <c r="A136" s="34"/>
      <c r="B136" s="31" t="s">
        <v>96</v>
      </c>
      <c r="C136" s="9">
        <v>6.4999999999999997E-3</v>
      </c>
      <c r="D136" s="14">
        <f t="shared" ref="D136:D140" si="3">$D$154*C136</f>
        <v>30.032792653778216</v>
      </c>
    </row>
    <row r="137" spans="1:4" x14ac:dyDescent="0.2">
      <c r="A137" s="34"/>
      <c r="B137" s="31" t="s">
        <v>97</v>
      </c>
      <c r="C137" s="9">
        <v>0.03</v>
      </c>
      <c r="D137" s="14">
        <f t="shared" si="3"/>
        <v>138.61288917128408</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231.02148195214014</v>
      </c>
    </row>
    <row r="141" spans="1:4" ht="13.5" x14ac:dyDescent="0.2">
      <c r="A141" s="85" t="s">
        <v>36</v>
      </c>
      <c r="B141" s="97"/>
      <c r="C141" s="19">
        <f>(1+C133)*(1+C132)/(1-C134)-1</f>
        <v>0.2391614668856048</v>
      </c>
      <c r="D141" s="17">
        <f>SUM(D132:D134)</f>
        <v>891.75523904280237</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1787.2529999999999</v>
      </c>
    </row>
    <row r="148" spans="1:4" x14ac:dyDescent="0.2">
      <c r="A148" s="32" t="s">
        <v>6</v>
      </c>
      <c r="B148" s="90" t="s">
        <v>17</v>
      </c>
      <c r="C148" s="90"/>
      <c r="D148" s="20">
        <f>D73</f>
        <v>1440.7613999999999</v>
      </c>
    </row>
    <row r="149" spans="1:4" x14ac:dyDescent="0.2">
      <c r="A149" s="32" t="s">
        <v>8</v>
      </c>
      <c r="B149" s="90" t="s">
        <v>44</v>
      </c>
      <c r="C149" s="90"/>
      <c r="D149" s="20">
        <f>D85</f>
        <v>110.05</v>
      </c>
    </row>
    <row r="150" spans="1:4" x14ac:dyDescent="0.2">
      <c r="A150" s="32" t="s">
        <v>10</v>
      </c>
      <c r="B150" s="90" t="s">
        <v>51</v>
      </c>
      <c r="C150" s="90"/>
      <c r="D150" s="20">
        <f>D115</f>
        <v>64.429999999999993</v>
      </c>
    </row>
    <row r="151" spans="1:4" x14ac:dyDescent="0.2">
      <c r="A151" s="32" t="s">
        <v>12</v>
      </c>
      <c r="B151" s="90" t="s">
        <v>56</v>
      </c>
      <c r="C151" s="90"/>
      <c r="D151" s="20">
        <f>D126</f>
        <v>326.17999999999995</v>
      </c>
    </row>
    <row r="152" spans="1:4" x14ac:dyDescent="0.2">
      <c r="A152" s="89" t="s">
        <v>95</v>
      </c>
      <c r="B152" s="89"/>
      <c r="C152" s="89"/>
      <c r="D152" s="21">
        <f>SUM(D147:D151)</f>
        <v>3728.6743999999999</v>
      </c>
    </row>
    <row r="153" spans="1:4" x14ac:dyDescent="0.2">
      <c r="A153" s="32" t="s">
        <v>31</v>
      </c>
      <c r="B153" s="90" t="s">
        <v>71</v>
      </c>
      <c r="C153" s="90"/>
      <c r="D153" s="22">
        <f>D141</f>
        <v>891.75523904280237</v>
      </c>
    </row>
    <row r="154" spans="1:4" x14ac:dyDescent="0.2">
      <c r="A154" s="89" t="s">
        <v>72</v>
      </c>
      <c r="B154" s="89"/>
      <c r="C154" s="89"/>
      <c r="D154" s="21">
        <f>SUM(D152:D153)</f>
        <v>4620.4296390428026</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43" zoomScale="115" zoomScaleNormal="115" workbookViewId="0">
      <selection activeCell="D124" sqref="D124"/>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119</v>
      </c>
      <c r="B6" s="86"/>
      <c r="C6" s="35" t="s">
        <v>100</v>
      </c>
      <c r="D6" s="35">
        <v>6</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f>8*15*((D19+D20)/220)*0.35</f>
        <v>341.20284545454541</v>
      </c>
    </row>
    <row r="23" spans="1:4" x14ac:dyDescent="0.2">
      <c r="A23" s="34" t="s">
        <v>12</v>
      </c>
      <c r="B23" s="90" t="s">
        <v>13</v>
      </c>
      <c r="C23" s="90"/>
      <c r="D23" s="13">
        <f>15*((D19+D20)/220)</f>
        <v>121.85815909090908</v>
      </c>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2250.3140045454543</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187.45</v>
      </c>
    </row>
    <row r="35" spans="1:4" x14ac:dyDescent="0.2">
      <c r="A35" s="34" t="s">
        <v>6</v>
      </c>
      <c r="B35" s="31" t="s">
        <v>117</v>
      </c>
      <c r="C35" s="12">
        <f>TRUNC(((1)/12),4)</f>
        <v>8.3299999999999999E-2</v>
      </c>
      <c r="D35" s="13">
        <f>TRUNC($D$26*C35,2)</f>
        <v>187.45</v>
      </c>
    </row>
    <row r="36" spans="1:4" x14ac:dyDescent="0.2">
      <c r="A36" s="34" t="s">
        <v>8</v>
      </c>
      <c r="B36" s="31" t="s">
        <v>118</v>
      </c>
      <c r="C36" s="36">
        <f>TRUNC(((1/3)/12),4)</f>
        <v>2.7699999999999999E-2</v>
      </c>
      <c r="D36" s="13">
        <f>TRUNC($D$26*C36,2)</f>
        <v>62.33</v>
      </c>
    </row>
    <row r="37" spans="1:4" x14ac:dyDescent="0.2">
      <c r="A37" s="89" t="s">
        <v>16</v>
      </c>
      <c r="B37" s="89"/>
      <c r="C37" s="26">
        <f>SUM(C34:C36)</f>
        <v>0.1943</v>
      </c>
      <c r="D37" s="17">
        <f>SUM(D34:D36)</f>
        <v>437.22999999999996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537.5</v>
      </c>
    </row>
    <row r="44" spans="1:4" x14ac:dyDescent="0.2">
      <c r="A44" s="34" t="s">
        <v>6</v>
      </c>
      <c r="B44" s="31" t="s">
        <v>27</v>
      </c>
      <c r="C44" s="9">
        <v>2.5000000000000001E-2</v>
      </c>
      <c r="D44" s="13">
        <f t="shared" ref="D44:D50" si="0">TRUNC(($D$26+$D$37)*C44,2)</f>
        <v>67.180000000000007</v>
      </c>
    </row>
    <row r="45" spans="1:4" x14ac:dyDescent="0.2">
      <c r="A45" s="34" t="s">
        <v>8</v>
      </c>
      <c r="B45" s="31" t="s">
        <v>28</v>
      </c>
      <c r="C45" s="16">
        <v>0.03</v>
      </c>
      <c r="D45" s="13">
        <f t="shared" si="0"/>
        <v>80.62</v>
      </c>
    </row>
    <row r="46" spans="1:4" x14ac:dyDescent="0.2">
      <c r="A46" s="34" t="s">
        <v>10</v>
      </c>
      <c r="B46" s="31" t="s">
        <v>29</v>
      </c>
      <c r="C46" s="9">
        <v>1.4999999999999999E-2</v>
      </c>
      <c r="D46" s="13">
        <f t="shared" si="0"/>
        <v>40.31</v>
      </c>
    </row>
    <row r="47" spans="1:4" x14ac:dyDescent="0.2">
      <c r="A47" s="34" t="s">
        <v>12</v>
      </c>
      <c r="B47" s="31" t="s">
        <v>30</v>
      </c>
      <c r="C47" s="9">
        <v>0.01</v>
      </c>
      <c r="D47" s="13">
        <f t="shared" si="0"/>
        <v>26.87</v>
      </c>
    </row>
    <row r="48" spans="1:4" x14ac:dyDescent="0.2">
      <c r="A48" s="34" t="s">
        <v>31</v>
      </c>
      <c r="B48" s="31" t="s">
        <v>32</v>
      </c>
      <c r="C48" s="9">
        <v>6.0000000000000001E-3</v>
      </c>
      <c r="D48" s="13">
        <f t="shared" si="0"/>
        <v>16.12</v>
      </c>
    </row>
    <row r="49" spans="1:4" x14ac:dyDescent="0.2">
      <c r="A49" s="34" t="s">
        <v>14</v>
      </c>
      <c r="B49" s="31" t="s">
        <v>33</v>
      </c>
      <c r="C49" s="9">
        <v>2E-3</v>
      </c>
      <c r="D49" s="13">
        <f t="shared" si="0"/>
        <v>5.37</v>
      </c>
    </row>
    <row r="50" spans="1:4" x14ac:dyDescent="0.2">
      <c r="A50" s="34" t="s">
        <v>34</v>
      </c>
      <c r="B50" s="31" t="s">
        <v>35</v>
      </c>
      <c r="C50" s="9">
        <v>0.08</v>
      </c>
      <c r="D50" s="13">
        <f t="shared" si="0"/>
        <v>215</v>
      </c>
    </row>
    <row r="51" spans="1:4" x14ac:dyDescent="0.2">
      <c r="A51" s="89" t="s">
        <v>36</v>
      </c>
      <c r="B51" s="89"/>
      <c r="C51" s="15">
        <f>SUM(C43:C50)</f>
        <v>0.36800000000000005</v>
      </c>
      <c r="D51" s="17">
        <f>SUM(D43:D50)</f>
        <v>988.97000000000014</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(15*2*4.9)-(D19*0.06)</f>
        <v>64.511400000000009</v>
      </c>
    </row>
    <row r="58" spans="1:4" x14ac:dyDescent="0.2">
      <c r="A58" s="34" t="s">
        <v>6</v>
      </c>
      <c r="B58" s="90" t="s">
        <v>41</v>
      </c>
      <c r="C58" s="90"/>
      <c r="D58" s="13">
        <f>16*15*0.85</f>
        <v>204</v>
      </c>
    </row>
    <row r="59" spans="1:4" x14ac:dyDescent="0.2">
      <c r="A59" s="34" t="s">
        <v>8</v>
      </c>
      <c r="B59" s="90" t="s">
        <v>110</v>
      </c>
      <c r="C59" s="90"/>
      <c r="D59" s="13">
        <v>50.98</v>
      </c>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v>12.19</v>
      </c>
    </row>
    <row r="64" spans="1:4" x14ac:dyDescent="0.2">
      <c r="A64" s="89" t="s">
        <v>16</v>
      </c>
      <c r="B64" s="89"/>
      <c r="C64" s="89"/>
      <c r="D64" s="17">
        <f>SUM(D57:D63)</f>
        <v>339.33139999999997</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437.22999999999996</v>
      </c>
    </row>
    <row r="71" spans="1:4" x14ac:dyDescent="0.2">
      <c r="A71" s="34" t="s">
        <v>23</v>
      </c>
      <c r="B71" s="90" t="s">
        <v>24</v>
      </c>
      <c r="C71" s="90"/>
      <c r="D71" s="14">
        <f>D51</f>
        <v>988.97000000000014</v>
      </c>
    </row>
    <row r="72" spans="1:4" x14ac:dyDescent="0.2">
      <c r="A72" s="34" t="s">
        <v>38</v>
      </c>
      <c r="B72" s="90" t="s">
        <v>39</v>
      </c>
      <c r="C72" s="90"/>
      <c r="D72" s="14">
        <f>D64</f>
        <v>339.33139999999997</v>
      </c>
    </row>
    <row r="73" spans="1:4" x14ac:dyDescent="0.2">
      <c r="A73" s="89" t="s">
        <v>16</v>
      </c>
      <c r="B73" s="89"/>
      <c r="C73" s="89"/>
      <c r="D73" s="17">
        <f>SUM(D70:D72)</f>
        <v>1765.5314000000001</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9.2200000000000006</v>
      </c>
    </row>
    <row r="80" spans="1:4" x14ac:dyDescent="0.2">
      <c r="A80" s="34" t="s">
        <v>6</v>
      </c>
      <c r="B80" s="10" t="s">
        <v>47</v>
      </c>
      <c r="C80" s="9">
        <v>0.08</v>
      </c>
      <c r="D80" s="13">
        <f>TRUNC(D79*C80,2)</f>
        <v>0.73</v>
      </c>
    </row>
    <row r="81" spans="1:4" x14ac:dyDescent="0.2">
      <c r="A81" s="34" t="s">
        <v>8</v>
      </c>
      <c r="B81" s="10" t="s">
        <v>48</v>
      </c>
      <c r="C81" s="9">
        <f>TRUNC(8%*5%*40%,4)</f>
        <v>1.6000000000000001E-3</v>
      </c>
      <c r="D81" s="13">
        <f>TRUNC($D$26*C81,2)</f>
        <v>3.6</v>
      </c>
    </row>
    <row r="82" spans="1:4" x14ac:dyDescent="0.2">
      <c r="A82" s="34" t="s">
        <v>10</v>
      </c>
      <c r="B82" s="10" t="s">
        <v>49</v>
      </c>
      <c r="C82" s="9">
        <f>TRUNC(((7/30)/12)*95%,4)</f>
        <v>1.84E-2</v>
      </c>
      <c r="D82" s="13">
        <f>TRUNC($D$26*C82,2)</f>
        <v>41.4</v>
      </c>
    </row>
    <row r="83" spans="1:4" ht="25.5" x14ac:dyDescent="0.2">
      <c r="A83" s="34" t="s">
        <v>12</v>
      </c>
      <c r="B83" s="10" t="s">
        <v>94</v>
      </c>
      <c r="C83" s="9">
        <f>C51</f>
        <v>0.36800000000000005</v>
      </c>
      <c r="D83" s="13">
        <f>TRUNC(D82*C83,2)</f>
        <v>15.23</v>
      </c>
    </row>
    <row r="84" spans="1:4" x14ac:dyDescent="0.2">
      <c r="A84" s="34" t="s">
        <v>31</v>
      </c>
      <c r="B84" s="10" t="s">
        <v>50</v>
      </c>
      <c r="C84" s="9">
        <f>TRUNC(8%*95%*40%,4)</f>
        <v>3.04E-2</v>
      </c>
      <c r="D84" s="13">
        <f t="shared" ref="D84" si="1">TRUNC($D$26*C84,2)</f>
        <v>68.400000000000006</v>
      </c>
    </row>
    <row r="85" spans="1:4" x14ac:dyDescent="0.2">
      <c r="A85" s="85" t="s">
        <v>16</v>
      </c>
      <c r="B85" s="97"/>
      <c r="C85" s="86"/>
      <c r="D85" s="17">
        <f>SUM(D79:D84)</f>
        <v>138.58000000000001</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f>
        <v>9.1999999999999998E-3</v>
      </c>
      <c r="D94" s="13">
        <f t="shared" ref="D94:D99" si="2">TRUNC(($D$26+$D$73+$D$85)*C94,2)</f>
        <v>38.22</v>
      </c>
    </row>
    <row r="95" spans="1:4" x14ac:dyDescent="0.2">
      <c r="A95" s="34" t="s">
        <v>6</v>
      </c>
      <c r="B95" s="31" t="s">
        <v>81</v>
      </c>
      <c r="C95" s="9">
        <f>TRUNC(((2/30)/12),4)</f>
        <v>5.4999999999999997E-3</v>
      </c>
      <c r="D95" s="13">
        <f t="shared" si="2"/>
        <v>22.84</v>
      </c>
    </row>
    <row r="96" spans="1:4" x14ac:dyDescent="0.2">
      <c r="A96" s="34" t="s">
        <v>8</v>
      </c>
      <c r="B96" s="31" t="s">
        <v>82</v>
      </c>
      <c r="C96" s="9">
        <f>TRUNC(((5/30)/12)*2%,4)</f>
        <v>2.0000000000000001E-4</v>
      </c>
      <c r="D96" s="13">
        <f t="shared" si="2"/>
        <v>0.83</v>
      </c>
    </row>
    <row r="97" spans="1:4" x14ac:dyDescent="0.2">
      <c r="A97" s="34" t="s">
        <v>10</v>
      </c>
      <c r="B97" s="31" t="s">
        <v>83</v>
      </c>
      <c r="C97" s="9">
        <f>TRUNC(((15/30)/12)*8%,4)</f>
        <v>3.3E-3</v>
      </c>
      <c r="D97" s="13">
        <f t="shared" si="2"/>
        <v>13.7</v>
      </c>
    </row>
    <row r="98" spans="1:4" x14ac:dyDescent="0.2">
      <c r="A98" s="34" t="s">
        <v>12</v>
      </c>
      <c r="B98" s="31" t="s">
        <v>84</v>
      </c>
      <c r="C98" s="9">
        <f>((1+1/3)/12)*3%*(4/12)</f>
        <v>1.1111111111111109E-3</v>
      </c>
      <c r="D98" s="13">
        <f t="shared" si="2"/>
        <v>4.6100000000000003</v>
      </c>
    </row>
    <row r="99" spans="1:4" x14ac:dyDescent="0.2">
      <c r="A99" s="34" t="s">
        <v>31</v>
      </c>
      <c r="B99" s="31" t="s">
        <v>85</v>
      </c>
      <c r="C99" s="9"/>
      <c r="D99" s="13">
        <f t="shared" si="2"/>
        <v>0</v>
      </c>
    </row>
    <row r="100" spans="1:4" x14ac:dyDescent="0.2">
      <c r="A100" s="89" t="s">
        <v>36</v>
      </c>
      <c r="B100" s="89"/>
      <c r="C100" s="89"/>
      <c r="D100" s="17">
        <f>SUM(D94:D99)</f>
        <v>80.2</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80.2</v>
      </c>
    </row>
    <row r="114" spans="1:4" x14ac:dyDescent="0.2">
      <c r="A114" s="34" t="s">
        <v>53</v>
      </c>
      <c r="B114" s="90" t="s">
        <v>87</v>
      </c>
      <c r="C114" s="90"/>
      <c r="D114" s="14">
        <f>D107</f>
        <v>0</v>
      </c>
    </row>
    <row r="115" spans="1:4" x14ac:dyDescent="0.2">
      <c r="A115" s="89" t="s">
        <v>16</v>
      </c>
      <c r="B115" s="89"/>
      <c r="C115" s="89"/>
      <c r="D115" s="17">
        <f>SUM(D113:D114)</f>
        <v>80.2</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273.64832427272728</v>
      </c>
    </row>
    <row r="133" spans="1:4" x14ac:dyDescent="0.2">
      <c r="A133" s="34" t="s">
        <v>6</v>
      </c>
      <c r="B133" s="31" t="s">
        <v>64</v>
      </c>
      <c r="C133" s="9">
        <v>6.7900000000000002E-2</v>
      </c>
      <c r="D133" s="13">
        <f>(D152+D132)*C133</f>
        <v>328.25940818675457</v>
      </c>
    </row>
    <row r="134" spans="1:4" x14ac:dyDescent="0.2">
      <c r="A134" s="34" t="s">
        <v>8</v>
      </c>
      <c r="B134" s="31" t="s">
        <v>65</v>
      </c>
      <c r="C134" s="12">
        <f>SUM(C135:C140)</f>
        <v>8.6499999999999994E-2</v>
      </c>
      <c r="D134" s="13">
        <f>(D152+D132+D133)*C134/(1-C134)</f>
        <v>488.86117827140339</v>
      </c>
    </row>
    <row r="135" spans="1:4" x14ac:dyDescent="0.2">
      <c r="A135" s="34"/>
      <c r="B135" s="31" t="s">
        <v>66</v>
      </c>
      <c r="C135" s="9"/>
      <c r="D135" s="14">
        <f>$D$154*C135</f>
        <v>0</v>
      </c>
    </row>
    <row r="136" spans="1:4" x14ac:dyDescent="0.2">
      <c r="A136" s="34"/>
      <c r="B136" s="31" t="s">
        <v>96</v>
      </c>
      <c r="C136" s="9">
        <v>6.4999999999999997E-3</v>
      </c>
      <c r="D136" s="14">
        <f t="shared" ref="D136:D140" si="3">$D$154*C136</f>
        <v>36.735233049296205</v>
      </c>
    </row>
    <row r="137" spans="1:4" x14ac:dyDescent="0.2">
      <c r="A137" s="34"/>
      <c r="B137" s="31" t="s">
        <v>97</v>
      </c>
      <c r="C137" s="9">
        <v>0.03</v>
      </c>
      <c r="D137" s="14">
        <f t="shared" si="3"/>
        <v>169.54722945829019</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282.578715763817</v>
      </c>
    </row>
    <row r="141" spans="1:4" ht="13.5" x14ac:dyDescent="0.2">
      <c r="A141" s="85" t="s">
        <v>36</v>
      </c>
      <c r="B141" s="97"/>
      <c r="C141" s="19">
        <f>(1+C133)*(1+C132)/(1-C134)-1</f>
        <v>0.2391614668856048</v>
      </c>
      <c r="D141" s="17">
        <f>SUM(D132:D134)</f>
        <v>1090.7689107308852</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2250.3140045454543</v>
      </c>
    </row>
    <row r="148" spans="1:4" x14ac:dyDescent="0.2">
      <c r="A148" s="32" t="s">
        <v>6</v>
      </c>
      <c r="B148" s="90" t="s">
        <v>17</v>
      </c>
      <c r="C148" s="90"/>
      <c r="D148" s="20">
        <f>D73</f>
        <v>1765.5314000000001</v>
      </c>
    </row>
    <row r="149" spans="1:4" x14ac:dyDescent="0.2">
      <c r="A149" s="32" t="s">
        <v>8</v>
      </c>
      <c r="B149" s="90" t="s">
        <v>44</v>
      </c>
      <c r="C149" s="90"/>
      <c r="D149" s="20">
        <f>D85</f>
        <v>138.58000000000001</v>
      </c>
    </row>
    <row r="150" spans="1:4" x14ac:dyDescent="0.2">
      <c r="A150" s="32" t="s">
        <v>10</v>
      </c>
      <c r="B150" s="90" t="s">
        <v>51</v>
      </c>
      <c r="C150" s="90"/>
      <c r="D150" s="20">
        <f>D115</f>
        <v>80.2</v>
      </c>
    </row>
    <row r="151" spans="1:4" x14ac:dyDescent="0.2">
      <c r="A151" s="32" t="s">
        <v>12</v>
      </c>
      <c r="B151" s="90" t="s">
        <v>56</v>
      </c>
      <c r="C151" s="90"/>
      <c r="D151" s="20">
        <f>D126</f>
        <v>326.17999999999995</v>
      </c>
    </row>
    <row r="152" spans="1:4" x14ac:dyDescent="0.2">
      <c r="A152" s="89" t="s">
        <v>95</v>
      </c>
      <c r="B152" s="89"/>
      <c r="C152" s="89"/>
      <c r="D152" s="21">
        <f>SUM(D147:D151)</f>
        <v>4560.8054045454546</v>
      </c>
    </row>
    <row r="153" spans="1:4" x14ac:dyDescent="0.2">
      <c r="A153" s="32" t="s">
        <v>31</v>
      </c>
      <c r="B153" s="90" t="s">
        <v>71</v>
      </c>
      <c r="C153" s="90"/>
      <c r="D153" s="22">
        <f>D141</f>
        <v>1090.7689107308852</v>
      </c>
    </row>
    <row r="154" spans="1:4" x14ac:dyDescent="0.2">
      <c r="A154" s="89" t="s">
        <v>72</v>
      </c>
      <c r="B154" s="89"/>
      <c r="C154" s="89"/>
      <c r="D154" s="21">
        <f>SUM(D152:D153)</f>
        <v>5651.5743152763398</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128" zoomScale="115" zoomScaleNormal="115" workbookViewId="0">
      <selection activeCell="D58" sqref="D58"/>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115</v>
      </c>
      <c r="B6" s="86"/>
      <c r="C6" s="35" t="s">
        <v>100</v>
      </c>
      <c r="D6" s="35">
        <v>43</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row>
    <row r="23" spans="1:4" x14ac:dyDescent="0.2">
      <c r="A23" s="34" t="s">
        <v>12</v>
      </c>
      <c r="B23" s="90" t="s">
        <v>13</v>
      </c>
      <c r="C23" s="90"/>
      <c r="D23" s="13"/>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1787.2529999999999</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148.87</v>
      </c>
    </row>
    <row r="35" spans="1:4" x14ac:dyDescent="0.2">
      <c r="A35" s="34" t="s">
        <v>6</v>
      </c>
      <c r="B35" s="31" t="s">
        <v>117</v>
      </c>
      <c r="C35" s="12">
        <f>TRUNC(((1)/12),4)</f>
        <v>8.3299999999999999E-2</v>
      </c>
      <c r="D35" s="13">
        <f>TRUNC($D$26*C35,2)</f>
        <v>148.87</v>
      </c>
    </row>
    <row r="36" spans="1:4" x14ac:dyDescent="0.2">
      <c r="A36" s="34" t="s">
        <v>8</v>
      </c>
      <c r="B36" s="31" t="s">
        <v>118</v>
      </c>
      <c r="C36" s="36">
        <f>TRUNC(((51%)/12),4)</f>
        <v>4.2500000000000003E-2</v>
      </c>
      <c r="D36" s="13">
        <f>TRUNC($D$19*C36,2)</f>
        <v>58.42</v>
      </c>
    </row>
    <row r="37" spans="1:4" x14ac:dyDescent="0.2">
      <c r="A37" s="89" t="s">
        <v>16</v>
      </c>
      <c r="B37" s="89"/>
      <c r="C37" s="26">
        <f>SUM(C34:C36)</f>
        <v>0.20910000000000001</v>
      </c>
      <c r="D37" s="17">
        <f>SUM(D34:D36)</f>
        <v>356.16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428.68</v>
      </c>
    </row>
    <row r="44" spans="1:4" x14ac:dyDescent="0.2">
      <c r="A44" s="34" t="s">
        <v>6</v>
      </c>
      <c r="B44" s="31" t="s">
        <v>27</v>
      </c>
      <c r="C44" s="9">
        <v>2.5000000000000001E-2</v>
      </c>
      <c r="D44" s="13">
        <f t="shared" ref="D44:D50" si="0">TRUNC(($D$26+$D$37)*C44,2)</f>
        <v>53.58</v>
      </c>
    </row>
    <row r="45" spans="1:4" x14ac:dyDescent="0.2">
      <c r="A45" s="34" t="s">
        <v>8</v>
      </c>
      <c r="B45" s="31" t="s">
        <v>28</v>
      </c>
      <c r="C45" s="16">
        <v>0.03</v>
      </c>
      <c r="D45" s="13">
        <f t="shared" si="0"/>
        <v>64.3</v>
      </c>
    </row>
    <row r="46" spans="1:4" x14ac:dyDescent="0.2">
      <c r="A46" s="34" t="s">
        <v>10</v>
      </c>
      <c r="B46" s="31" t="s">
        <v>29</v>
      </c>
      <c r="C46" s="9">
        <v>1.4999999999999999E-2</v>
      </c>
      <c r="D46" s="13">
        <f t="shared" si="0"/>
        <v>32.15</v>
      </c>
    </row>
    <row r="47" spans="1:4" x14ac:dyDescent="0.2">
      <c r="A47" s="34" t="s">
        <v>12</v>
      </c>
      <c r="B47" s="31" t="s">
        <v>30</v>
      </c>
      <c r="C47" s="9">
        <v>0.01</v>
      </c>
      <c r="D47" s="13">
        <f t="shared" si="0"/>
        <v>21.43</v>
      </c>
    </row>
    <row r="48" spans="1:4" x14ac:dyDescent="0.2">
      <c r="A48" s="34" t="s">
        <v>31</v>
      </c>
      <c r="B48" s="31" t="s">
        <v>32</v>
      </c>
      <c r="C48" s="9">
        <v>6.0000000000000001E-3</v>
      </c>
      <c r="D48" s="13">
        <f t="shared" si="0"/>
        <v>12.86</v>
      </c>
    </row>
    <row r="49" spans="1:4" x14ac:dyDescent="0.2">
      <c r="A49" s="34" t="s">
        <v>14</v>
      </c>
      <c r="B49" s="31" t="s">
        <v>33</v>
      </c>
      <c r="C49" s="9">
        <v>2E-3</v>
      </c>
      <c r="D49" s="13">
        <f t="shared" si="0"/>
        <v>4.28</v>
      </c>
    </row>
    <row r="50" spans="1:4" x14ac:dyDescent="0.2">
      <c r="A50" s="34" t="s">
        <v>34</v>
      </c>
      <c r="B50" s="31" t="s">
        <v>35</v>
      </c>
      <c r="C50" s="9">
        <v>0.08</v>
      </c>
      <c r="D50" s="13">
        <f t="shared" si="0"/>
        <v>171.47</v>
      </c>
    </row>
    <row r="51" spans="1:4" x14ac:dyDescent="0.2">
      <c r="A51" s="89" t="s">
        <v>36</v>
      </c>
      <c r="B51" s="89"/>
      <c r="C51" s="15">
        <f>SUM(C43:C50)</f>
        <v>0.36800000000000005</v>
      </c>
      <c r="D51" s="17">
        <f>SUM(D43:D50)</f>
        <v>788.74999999999989</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(22*2*3.92)-(D19*0.06)</f>
        <v>89.991399999999999</v>
      </c>
    </row>
    <row r="58" spans="1:4" x14ac:dyDescent="0.2">
      <c r="A58" s="34" t="s">
        <v>6</v>
      </c>
      <c r="B58" s="90" t="s">
        <v>41</v>
      </c>
      <c r="C58" s="90"/>
      <c r="D58" s="13">
        <f>16*22*0.85</f>
        <v>299.2</v>
      </c>
    </row>
    <row r="59" spans="1:4" x14ac:dyDescent="0.2">
      <c r="A59" s="34" t="s">
        <v>8</v>
      </c>
      <c r="B59" s="90" t="s">
        <v>110</v>
      </c>
      <c r="C59" s="90"/>
      <c r="D59" s="13"/>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v>8.1300000000000008</v>
      </c>
    </row>
    <row r="64" spans="1:4" x14ac:dyDescent="0.2">
      <c r="A64" s="89" t="s">
        <v>16</v>
      </c>
      <c r="B64" s="89"/>
      <c r="C64" s="89"/>
      <c r="D64" s="17">
        <f>SUM(D57:D63)</f>
        <v>404.97139999999996</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356.16</v>
      </c>
    </row>
    <row r="71" spans="1:4" x14ac:dyDescent="0.2">
      <c r="A71" s="34" t="s">
        <v>23</v>
      </c>
      <c r="B71" s="90" t="s">
        <v>24</v>
      </c>
      <c r="C71" s="90"/>
      <c r="D71" s="14">
        <f>D51</f>
        <v>788.74999999999989</v>
      </c>
    </row>
    <row r="72" spans="1:4" x14ac:dyDescent="0.2">
      <c r="A72" s="34" t="s">
        <v>38</v>
      </c>
      <c r="B72" s="90" t="s">
        <v>39</v>
      </c>
      <c r="C72" s="90"/>
      <c r="D72" s="14">
        <f>D64</f>
        <v>404.97139999999996</v>
      </c>
    </row>
    <row r="73" spans="1:4" x14ac:dyDescent="0.2">
      <c r="A73" s="89" t="s">
        <v>16</v>
      </c>
      <c r="B73" s="89"/>
      <c r="C73" s="89"/>
      <c r="D73" s="17">
        <f>SUM(D70:D72)</f>
        <v>1549.8813999999998</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7.32</v>
      </c>
    </row>
    <row r="80" spans="1:4" x14ac:dyDescent="0.2">
      <c r="A80" s="34" t="s">
        <v>6</v>
      </c>
      <c r="B80" s="10" t="s">
        <v>47</v>
      </c>
      <c r="C80" s="9">
        <v>0.08</v>
      </c>
      <c r="D80" s="13">
        <f>TRUNC(D79*C80,2)</f>
        <v>0.57999999999999996</v>
      </c>
    </row>
    <row r="81" spans="1:4" x14ac:dyDescent="0.2">
      <c r="A81" s="34" t="s">
        <v>8</v>
      </c>
      <c r="B81" s="10" t="s">
        <v>48</v>
      </c>
      <c r="C81" s="9">
        <f>TRUNC(8%*5%*40%,4)</f>
        <v>1.6000000000000001E-3</v>
      </c>
      <c r="D81" s="13">
        <f>TRUNC($D$26*C81,2)</f>
        <v>2.85</v>
      </c>
    </row>
    <row r="82" spans="1:4" x14ac:dyDescent="0.2">
      <c r="A82" s="34" t="s">
        <v>10</v>
      </c>
      <c r="B82" s="10" t="s">
        <v>49</v>
      </c>
      <c r="C82" s="9">
        <f>TRUNC(((7/30)/12)*95%,4)</f>
        <v>1.84E-2</v>
      </c>
      <c r="D82" s="13">
        <f>TRUNC($D$26*C82,2)</f>
        <v>32.880000000000003</v>
      </c>
    </row>
    <row r="83" spans="1:4" ht="25.5" x14ac:dyDescent="0.2">
      <c r="A83" s="34" t="s">
        <v>12</v>
      </c>
      <c r="B83" s="10" t="s">
        <v>94</v>
      </c>
      <c r="C83" s="9">
        <f>C51</f>
        <v>0.36800000000000005</v>
      </c>
      <c r="D83" s="13">
        <f>TRUNC(D82*C83,2)</f>
        <v>12.09</v>
      </c>
    </row>
    <row r="84" spans="1:4" x14ac:dyDescent="0.2">
      <c r="A84" s="34" t="s">
        <v>31</v>
      </c>
      <c r="B84" s="10" t="s">
        <v>50</v>
      </c>
      <c r="C84" s="9">
        <f>TRUNC(8%*95%*40%,4)</f>
        <v>3.04E-2</v>
      </c>
      <c r="D84" s="13">
        <f t="shared" ref="D84" si="1">TRUNC($D$26*C84,2)</f>
        <v>54.33</v>
      </c>
    </row>
    <row r="85" spans="1:4" x14ac:dyDescent="0.2">
      <c r="A85" s="85" t="s">
        <v>16</v>
      </c>
      <c r="B85" s="97"/>
      <c r="C85" s="86"/>
      <c r="D85" s="17">
        <f>SUM(D79:D84)</f>
        <v>110.05</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f>
        <v>9.1999999999999998E-3</v>
      </c>
      <c r="D94" s="13">
        <f t="shared" ref="D94:D99" si="2">TRUNC(($D$26+$D$73+$D$85)*C94,2)</f>
        <v>31.71</v>
      </c>
    </row>
    <row r="95" spans="1:4" x14ac:dyDescent="0.2">
      <c r="A95" s="34" t="s">
        <v>6</v>
      </c>
      <c r="B95" s="31" t="s">
        <v>81</v>
      </c>
      <c r="C95" s="9">
        <f>TRUNC(((2/30)/12),4)</f>
        <v>5.4999999999999997E-3</v>
      </c>
      <c r="D95" s="13">
        <f t="shared" si="2"/>
        <v>18.95</v>
      </c>
    </row>
    <row r="96" spans="1:4" x14ac:dyDescent="0.2">
      <c r="A96" s="34" t="s">
        <v>8</v>
      </c>
      <c r="B96" s="31" t="s">
        <v>82</v>
      </c>
      <c r="C96" s="9">
        <f>TRUNC(((5/30)/12)*2%,4)</f>
        <v>2.0000000000000001E-4</v>
      </c>
      <c r="D96" s="13">
        <f t="shared" si="2"/>
        <v>0.68</v>
      </c>
    </row>
    <row r="97" spans="1:4" x14ac:dyDescent="0.2">
      <c r="A97" s="34" t="s">
        <v>10</v>
      </c>
      <c r="B97" s="31" t="s">
        <v>83</v>
      </c>
      <c r="C97" s="9">
        <f>TRUNC(((15/30)/12)*8%,4)</f>
        <v>3.3E-3</v>
      </c>
      <c r="D97" s="13">
        <f t="shared" si="2"/>
        <v>11.37</v>
      </c>
    </row>
    <row r="98" spans="1:4" x14ac:dyDescent="0.2">
      <c r="A98" s="34" t="s">
        <v>12</v>
      </c>
      <c r="B98" s="31" t="s">
        <v>84</v>
      </c>
      <c r="C98" s="9">
        <f>((1+1/3)/12)*3%*(4/12)</f>
        <v>1.1111111111111109E-3</v>
      </c>
      <c r="D98" s="13">
        <f t="shared" si="2"/>
        <v>3.83</v>
      </c>
    </row>
    <row r="99" spans="1:4" x14ac:dyDescent="0.2">
      <c r="A99" s="34" t="s">
        <v>31</v>
      </c>
      <c r="B99" s="31" t="s">
        <v>85</v>
      </c>
      <c r="C99" s="9"/>
      <c r="D99" s="13">
        <f t="shared" si="2"/>
        <v>0</v>
      </c>
    </row>
    <row r="100" spans="1:4" x14ac:dyDescent="0.2">
      <c r="A100" s="89" t="s">
        <v>36</v>
      </c>
      <c r="B100" s="89"/>
      <c r="C100" s="89"/>
      <c r="D100" s="17">
        <f>SUM(D94:D99)</f>
        <v>66.539999999999992</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66.539999999999992</v>
      </c>
    </row>
    <row r="114" spans="1:4" x14ac:dyDescent="0.2">
      <c r="A114" s="34" t="s">
        <v>53</v>
      </c>
      <c r="B114" s="90" t="s">
        <v>87</v>
      </c>
      <c r="C114" s="90"/>
      <c r="D114" s="14">
        <f>D107</f>
        <v>0</v>
      </c>
    </row>
    <row r="115" spans="1:4" x14ac:dyDescent="0.2">
      <c r="A115" s="89" t="s">
        <v>16</v>
      </c>
      <c r="B115" s="89"/>
      <c r="C115" s="89"/>
      <c r="D115" s="17">
        <f>SUM(D113:D114)</f>
        <v>66.539999999999992</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230.39426399999999</v>
      </c>
    </row>
    <row r="133" spans="1:4" x14ac:dyDescent="0.2">
      <c r="A133" s="34" t="s">
        <v>6</v>
      </c>
      <c r="B133" s="31" t="s">
        <v>64</v>
      </c>
      <c r="C133" s="9">
        <v>6.7900000000000002E-2</v>
      </c>
      <c r="D133" s="13">
        <f>(D152+D132)*C133</f>
        <v>276.37327928560001</v>
      </c>
    </row>
    <row r="134" spans="1:4" x14ac:dyDescent="0.2">
      <c r="A134" s="34" t="s">
        <v>8</v>
      </c>
      <c r="B134" s="31" t="s">
        <v>65</v>
      </c>
      <c r="C134" s="12">
        <f>SUM(C135:C140)</f>
        <v>8.6499999999999994E-2</v>
      </c>
      <c r="D134" s="13">
        <f>(D152+D132+D133)*C134/(1-C134)</f>
        <v>411.58962571888821</v>
      </c>
    </row>
    <row r="135" spans="1:4" x14ac:dyDescent="0.2">
      <c r="A135" s="34"/>
      <c r="B135" s="31" t="s">
        <v>66</v>
      </c>
      <c r="C135" s="9"/>
      <c r="D135" s="14">
        <f>$D$154*C135</f>
        <v>0</v>
      </c>
    </row>
    <row r="136" spans="1:4" x14ac:dyDescent="0.2">
      <c r="A136" s="34"/>
      <c r="B136" s="31" t="s">
        <v>96</v>
      </c>
      <c r="C136" s="9">
        <v>6.4999999999999997E-3</v>
      </c>
      <c r="D136" s="14">
        <f t="shared" ref="D136:D140" si="3">$D$154*C136</f>
        <v>30.928700198529167</v>
      </c>
    </row>
    <row r="137" spans="1:4" x14ac:dyDescent="0.2">
      <c r="A137" s="34"/>
      <c r="B137" s="31" t="s">
        <v>97</v>
      </c>
      <c r="C137" s="9">
        <v>0.03</v>
      </c>
      <c r="D137" s="14">
        <f t="shared" si="3"/>
        <v>142.74784707013461</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237.91307845022439</v>
      </c>
    </row>
    <row r="141" spans="1:4" ht="13.5" x14ac:dyDescent="0.2">
      <c r="A141" s="85" t="s">
        <v>36</v>
      </c>
      <c r="B141" s="97"/>
      <c r="C141" s="19">
        <f>(1+C133)*(1+C132)/(1-C134)-1</f>
        <v>0.2391614668856048</v>
      </c>
      <c r="D141" s="17">
        <f>SUM(D132:D134)</f>
        <v>918.35716900448824</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1787.2529999999999</v>
      </c>
    </row>
    <row r="148" spans="1:4" x14ac:dyDescent="0.2">
      <c r="A148" s="32" t="s">
        <v>6</v>
      </c>
      <c r="B148" s="90" t="s">
        <v>17</v>
      </c>
      <c r="C148" s="90"/>
      <c r="D148" s="20">
        <f>D73</f>
        <v>1549.8813999999998</v>
      </c>
    </row>
    <row r="149" spans="1:4" x14ac:dyDescent="0.2">
      <c r="A149" s="32" t="s">
        <v>8</v>
      </c>
      <c r="B149" s="90" t="s">
        <v>44</v>
      </c>
      <c r="C149" s="90"/>
      <c r="D149" s="20">
        <f>D85</f>
        <v>110.05</v>
      </c>
    </row>
    <row r="150" spans="1:4" x14ac:dyDescent="0.2">
      <c r="A150" s="32" t="s">
        <v>10</v>
      </c>
      <c r="B150" s="90" t="s">
        <v>51</v>
      </c>
      <c r="C150" s="90"/>
      <c r="D150" s="20">
        <f>D115</f>
        <v>66.539999999999992</v>
      </c>
    </row>
    <row r="151" spans="1:4" x14ac:dyDescent="0.2">
      <c r="A151" s="32" t="s">
        <v>12</v>
      </c>
      <c r="B151" s="90" t="s">
        <v>56</v>
      </c>
      <c r="C151" s="90"/>
      <c r="D151" s="20">
        <f>D126</f>
        <v>326.17999999999995</v>
      </c>
    </row>
    <row r="152" spans="1:4" x14ac:dyDescent="0.2">
      <c r="A152" s="89" t="s">
        <v>95</v>
      </c>
      <c r="B152" s="89"/>
      <c r="C152" s="89"/>
      <c r="D152" s="21">
        <f>SUM(D147:D151)</f>
        <v>3839.9043999999999</v>
      </c>
    </row>
    <row r="153" spans="1:4" x14ac:dyDescent="0.2">
      <c r="A153" s="32" t="s">
        <v>31</v>
      </c>
      <c r="B153" s="90" t="s">
        <v>71</v>
      </c>
      <c r="C153" s="90"/>
      <c r="D153" s="22">
        <f>D141</f>
        <v>918.35716900448824</v>
      </c>
    </row>
    <row r="154" spans="1:4" x14ac:dyDescent="0.2">
      <c r="A154" s="89" t="s">
        <v>72</v>
      </c>
      <c r="B154" s="89"/>
      <c r="C154" s="89"/>
      <c r="D154" s="21">
        <f>SUM(D152:D153)</f>
        <v>4758.2615690044877</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4"/>
  <sheetViews>
    <sheetView topLeftCell="A43" zoomScale="115" zoomScaleNormal="115" workbookViewId="0">
      <selection activeCell="D124" sqref="D124"/>
    </sheetView>
  </sheetViews>
  <sheetFormatPr defaultRowHeight="12.75" x14ac:dyDescent="0.2"/>
  <cols>
    <col min="1" max="1" width="9.140625" style="1"/>
    <col min="2" max="2" width="60.28515625" style="1" customWidth="1"/>
    <col min="3" max="3" width="18" style="1" customWidth="1"/>
    <col min="4" max="4" width="21.42578125" style="1" customWidth="1"/>
    <col min="5" max="5" width="15.140625" style="1" customWidth="1"/>
    <col min="6" max="16384" width="9.140625" style="1"/>
  </cols>
  <sheetData>
    <row r="1" spans="1:4" ht="15.75" x14ac:dyDescent="0.25">
      <c r="A1" s="100" t="s">
        <v>0</v>
      </c>
      <c r="B1" s="100"/>
      <c r="C1" s="100"/>
      <c r="D1" s="100"/>
    </row>
    <row r="2" spans="1:4" ht="15.75" x14ac:dyDescent="0.25">
      <c r="A2" s="24"/>
      <c r="B2" s="24"/>
      <c r="C2" s="24"/>
      <c r="D2" s="24"/>
    </row>
    <row r="3" spans="1:4" x14ac:dyDescent="0.2">
      <c r="A3" s="92" t="s">
        <v>89</v>
      </c>
      <c r="B3" s="92"/>
      <c r="C3" s="92"/>
      <c r="D3" s="92"/>
    </row>
    <row r="4" spans="1:4" x14ac:dyDescent="0.2">
      <c r="A4" s="2"/>
      <c r="B4" s="2"/>
      <c r="C4" s="2"/>
      <c r="D4" s="2"/>
    </row>
    <row r="5" spans="1:4" ht="38.25" x14ac:dyDescent="0.2">
      <c r="A5" s="102" t="s">
        <v>90</v>
      </c>
      <c r="B5" s="102"/>
      <c r="C5" s="34" t="s">
        <v>91</v>
      </c>
      <c r="D5" s="25" t="s">
        <v>92</v>
      </c>
    </row>
    <row r="6" spans="1:4" ht="25.5" customHeight="1" x14ac:dyDescent="0.2">
      <c r="A6" s="85" t="s">
        <v>119</v>
      </c>
      <c r="B6" s="86"/>
      <c r="C6" s="35" t="s">
        <v>100</v>
      </c>
      <c r="D6" s="35">
        <v>3</v>
      </c>
    </row>
    <row r="8" spans="1:4" x14ac:dyDescent="0.2">
      <c r="A8" s="92" t="s">
        <v>73</v>
      </c>
      <c r="B8" s="92"/>
      <c r="C8" s="92"/>
      <c r="D8" s="92"/>
    </row>
    <row r="9" spans="1:4" x14ac:dyDescent="0.2">
      <c r="A9" s="2"/>
      <c r="B9" s="2"/>
      <c r="C9" s="2"/>
      <c r="D9" s="2"/>
    </row>
    <row r="10" spans="1:4" x14ac:dyDescent="0.2">
      <c r="A10" s="5">
        <v>1</v>
      </c>
      <c r="B10" s="5" t="s">
        <v>74</v>
      </c>
      <c r="C10" s="87" t="s">
        <v>113</v>
      </c>
      <c r="D10" s="88"/>
    </row>
    <row r="11" spans="1:4" x14ac:dyDescent="0.2">
      <c r="A11" s="5">
        <v>2</v>
      </c>
      <c r="B11" s="5" t="s">
        <v>93</v>
      </c>
      <c r="C11" s="87">
        <v>517330</v>
      </c>
      <c r="D11" s="88"/>
    </row>
    <row r="12" spans="1:4" x14ac:dyDescent="0.2">
      <c r="A12" s="5">
        <v>3</v>
      </c>
      <c r="B12" s="5" t="s">
        <v>75</v>
      </c>
      <c r="C12" s="87">
        <v>1374.81</v>
      </c>
      <c r="D12" s="88"/>
    </row>
    <row r="13" spans="1:4" x14ac:dyDescent="0.2">
      <c r="A13" s="5">
        <v>4</v>
      </c>
      <c r="B13" s="5" t="s">
        <v>76</v>
      </c>
      <c r="C13" s="87" t="s">
        <v>102</v>
      </c>
      <c r="D13" s="88"/>
    </row>
    <row r="14" spans="1:4" x14ac:dyDescent="0.2">
      <c r="A14" s="5">
        <v>5</v>
      </c>
      <c r="B14" s="5" t="s">
        <v>77</v>
      </c>
      <c r="C14" s="91">
        <v>44958</v>
      </c>
      <c r="D14" s="88"/>
    </row>
    <row r="16" spans="1:4" x14ac:dyDescent="0.2">
      <c r="A16" s="92" t="s">
        <v>1</v>
      </c>
      <c r="B16" s="92"/>
      <c r="C16" s="92"/>
      <c r="D16" s="92"/>
    </row>
    <row r="18" spans="1:4" x14ac:dyDescent="0.2">
      <c r="A18" s="32">
        <v>1</v>
      </c>
      <c r="B18" s="89" t="s">
        <v>2</v>
      </c>
      <c r="C18" s="89"/>
      <c r="D18" s="32" t="s">
        <v>3</v>
      </c>
    </row>
    <row r="19" spans="1:4" x14ac:dyDescent="0.2">
      <c r="A19" s="34" t="s">
        <v>4</v>
      </c>
      <c r="B19" s="90" t="s">
        <v>5</v>
      </c>
      <c r="C19" s="90"/>
      <c r="D19" s="13">
        <v>1374.81</v>
      </c>
    </row>
    <row r="20" spans="1:4" x14ac:dyDescent="0.2">
      <c r="A20" s="34" t="s">
        <v>6</v>
      </c>
      <c r="B20" s="90" t="s">
        <v>7</v>
      </c>
      <c r="C20" s="90"/>
      <c r="D20" s="13">
        <f>D19*0.3</f>
        <v>412.44299999999998</v>
      </c>
    </row>
    <row r="21" spans="1:4" x14ac:dyDescent="0.2">
      <c r="A21" s="34" t="s">
        <v>8</v>
      </c>
      <c r="B21" s="90" t="s">
        <v>9</v>
      </c>
      <c r="C21" s="90"/>
      <c r="D21" s="13"/>
    </row>
    <row r="22" spans="1:4" x14ac:dyDescent="0.2">
      <c r="A22" s="34" t="s">
        <v>10</v>
      </c>
      <c r="B22" s="90" t="s">
        <v>11</v>
      </c>
      <c r="C22" s="90"/>
      <c r="D22" s="13">
        <f>8*15*((D19+D20)/220)*0.35</f>
        <v>341.20284545454541</v>
      </c>
    </row>
    <row r="23" spans="1:4" x14ac:dyDescent="0.2">
      <c r="A23" s="34" t="s">
        <v>12</v>
      </c>
      <c r="B23" s="90" t="s">
        <v>13</v>
      </c>
      <c r="C23" s="90"/>
      <c r="D23" s="13">
        <f>15*((D19+D20)/220)</f>
        <v>121.85815909090908</v>
      </c>
    </row>
    <row r="24" spans="1:4" x14ac:dyDescent="0.2">
      <c r="A24" s="34" t="s">
        <v>31</v>
      </c>
      <c r="B24" s="90" t="s">
        <v>114</v>
      </c>
      <c r="C24" s="90"/>
      <c r="D24" s="13">
        <v>0</v>
      </c>
    </row>
    <row r="25" spans="1:4" x14ac:dyDescent="0.2">
      <c r="A25" s="34" t="s">
        <v>14</v>
      </c>
      <c r="B25" s="90" t="s">
        <v>15</v>
      </c>
      <c r="C25" s="90"/>
      <c r="D25" s="13"/>
    </row>
    <row r="26" spans="1:4" x14ac:dyDescent="0.2">
      <c r="A26" s="89" t="s">
        <v>16</v>
      </c>
      <c r="B26" s="89"/>
      <c r="C26" s="89"/>
      <c r="D26" s="18">
        <f>SUM(D19:D25)</f>
        <v>2250.3140045454543</v>
      </c>
    </row>
    <row r="29" spans="1:4" x14ac:dyDescent="0.2">
      <c r="A29" s="93" t="s">
        <v>17</v>
      </c>
      <c r="B29" s="93"/>
      <c r="C29" s="93"/>
      <c r="D29" s="93"/>
    </row>
    <row r="30" spans="1:4" x14ac:dyDescent="0.2">
      <c r="A30" s="3"/>
    </row>
    <row r="31" spans="1:4" x14ac:dyDescent="0.2">
      <c r="A31" s="99" t="s">
        <v>18</v>
      </c>
      <c r="B31" s="99"/>
      <c r="C31" s="99"/>
      <c r="D31" s="99"/>
    </row>
    <row r="33" spans="1:4" x14ac:dyDescent="0.2">
      <c r="A33" s="32" t="s">
        <v>19</v>
      </c>
      <c r="B33" s="89" t="s">
        <v>20</v>
      </c>
      <c r="C33" s="89"/>
      <c r="D33" s="32" t="s">
        <v>3</v>
      </c>
    </row>
    <row r="34" spans="1:4" x14ac:dyDescent="0.2">
      <c r="A34" s="34" t="s">
        <v>4</v>
      </c>
      <c r="B34" s="31" t="s">
        <v>21</v>
      </c>
      <c r="C34" s="12">
        <f>TRUNC(1/12,4)</f>
        <v>8.3299999999999999E-2</v>
      </c>
      <c r="D34" s="13">
        <f>TRUNC($D$26*C34,2)</f>
        <v>187.45</v>
      </c>
    </row>
    <row r="35" spans="1:4" x14ac:dyDescent="0.2">
      <c r="A35" s="34" t="s">
        <v>6</v>
      </c>
      <c r="B35" s="31" t="s">
        <v>117</v>
      </c>
      <c r="C35" s="12">
        <f>TRUNC(((1)/12),4)</f>
        <v>8.3299999999999999E-2</v>
      </c>
      <c r="D35" s="13">
        <f>TRUNC($D$26*C35,2)</f>
        <v>187.45</v>
      </c>
    </row>
    <row r="36" spans="1:4" x14ac:dyDescent="0.2">
      <c r="A36" s="34" t="s">
        <v>8</v>
      </c>
      <c r="B36" s="31" t="s">
        <v>118</v>
      </c>
      <c r="C36" s="36">
        <f>TRUNC(((1/3)/12),4)</f>
        <v>2.7699999999999999E-2</v>
      </c>
      <c r="D36" s="13">
        <f>TRUNC($D$26*C36,2)</f>
        <v>62.33</v>
      </c>
    </row>
    <row r="37" spans="1:4" x14ac:dyDescent="0.2">
      <c r="A37" s="89" t="s">
        <v>16</v>
      </c>
      <c r="B37" s="89"/>
      <c r="C37" s="26">
        <f>SUM(C34:C36)</f>
        <v>0.1943</v>
      </c>
      <c r="D37" s="17">
        <f>SUM(D34:D36)</f>
        <v>437.22999999999996</v>
      </c>
    </row>
    <row r="40" spans="1:4" x14ac:dyDescent="0.2">
      <c r="A40" s="101" t="s">
        <v>22</v>
      </c>
      <c r="B40" s="101"/>
      <c r="C40" s="101"/>
      <c r="D40" s="101"/>
    </row>
    <row r="42" spans="1:4" x14ac:dyDescent="0.2">
      <c r="A42" s="32" t="s">
        <v>23</v>
      </c>
      <c r="B42" s="32" t="s">
        <v>24</v>
      </c>
      <c r="C42" s="32" t="s">
        <v>25</v>
      </c>
      <c r="D42" s="32" t="s">
        <v>3</v>
      </c>
    </row>
    <row r="43" spans="1:4" x14ac:dyDescent="0.2">
      <c r="A43" s="34" t="s">
        <v>4</v>
      </c>
      <c r="B43" s="31" t="s">
        <v>26</v>
      </c>
      <c r="C43" s="9">
        <v>0.2</v>
      </c>
      <c r="D43" s="13">
        <f>TRUNC(($D$26+$D$37)*C43,2)</f>
        <v>537.5</v>
      </c>
    </row>
    <row r="44" spans="1:4" x14ac:dyDescent="0.2">
      <c r="A44" s="34" t="s">
        <v>6</v>
      </c>
      <c r="B44" s="31" t="s">
        <v>27</v>
      </c>
      <c r="C44" s="9">
        <v>2.5000000000000001E-2</v>
      </c>
      <c r="D44" s="13">
        <f t="shared" ref="D44:D50" si="0">TRUNC(($D$26+$D$37)*C44,2)</f>
        <v>67.180000000000007</v>
      </c>
    </row>
    <row r="45" spans="1:4" x14ac:dyDescent="0.2">
      <c r="A45" s="34" t="s">
        <v>8</v>
      </c>
      <c r="B45" s="31" t="s">
        <v>28</v>
      </c>
      <c r="C45" s="16">
        <v>0.03</v>
      </c>
      <c r="D45" s="13">
        <f t="shared" si="0"/>
        <v>80.62</v>
      </c>
    </row>
    <row r="46" spans="1:4" x14ac:dyDescent="0.2">
      <c r="A46" s="34" t="s">
        <v>10</v>
      </c>
      <c r="B46" s="31" t="s">
        <v>29</v>
      </c>
      <c r="C46" s="9">
        <v>1.4999999999999999E-2</v>
      </c>
      <c r="D46" s="13">
        <f t="shared" si="0"/>
        <v>40.31</v>
      </c>
    </row>
    <row r="47" spans="1:4" x14ac:dyDescent="0.2">
      <c r="A47" s="34" t="s">
        <v>12</v>
      </c>
      <c r="B47" s="31" t="s">
        <v>30</v>
      </c>
      <c r="C47" s="9">
        <v>0.01</v>
      </c>
      <c r="D47" s="13">
        <f t="shared" si="0"/>
        <v>26.87</v>
      </c>
    </row>
    <row r="48" spans="1:4" x14ac:dyDescent="0.2">
      <c r="A48" s="34" t="s">
        <v>31</v>
      </c>
      <c r="B48" s="31" t="s">
        <v>32</v>
      </c>
      <c r="C48" s="9">
        <v>6.0000000000000001E-3</v>
      </c>
      <c r="D48" s="13">
        <f t="shared" si="0"/>
        <v>16.12</v>
      </c>
    </row>
    <row r="49" spans="1:4" x14ac:dyDescent="0.2">
      <c r="A49" s="34" t="s">
        <v>14</v>
      </c>
      <c r="B49" s="31" t="s">
        <v>33</v>
      </c>
      <c r="C49" s="9">
        <v>2E-3</v>
      </c>
      <c r="D49" s="13">
        <f t="shared" si="0"/>
        <v>5.37</v>
      </c>
    </row>
    <row r="50" spans="1:4" x14ac:dyDescent="0.2">
      <c r="A50" s="34" t="s">
        <v>34</v>
      </c>
      <c r="B50" s="31" t="s">
        <v>35</v>
      </c>
      <c r="C50" s="9">
        <v>0.08</v>
      </c>
      <c r="D50" s="13">
        <f t="shared" si="0"/>
        <v>215</v>
      </c>
    </row>
    <row r="51" spans="1:4" x14ac:dyDescent="0.2">
      <c r="A51" s="89" t="s">
        <v>36</v>
      </c>
      <c r="B51" s="89"/>
      <c r="C51" s="15">
        <f>SUM(C43:C50)</f>
        <v>0.36800000000000005</v>
      </c>
      <c r="D51" s="17">
        <f>SUM(D43:D50)</f>
        <v>988.97000000000014</v>
      </c>
    </row>
    <row r="54" spans="1:4" x14ac:dyDescent="0.2">
      <c r="A54" s="99" t="s">
        <v>37</v>
      </c>
      <c r="B54" s="99"/>
      <c r="C54" s="99"/>
      <c r="D54" s="99"/>
    </row>
    <row r="56" spans="1:4" x14ac:dyDescent="0.2">
      <c r="A56" s="32" t="s">
        <v>38</v>
      </c>
      <c r="B56" s="98" t="s">
        <v>39</v>
      </c>
      <c r="C56" s="98"/>
      <c r="D56" s="32" t="s">
        <v>3</v>
      </c>
    </row>
    <row r="57" spans="1:4" x14ac:dyDescent="0.2">
      <c r="A57" s="34" t="s">
        <v>4</v>
      </c>
      <c r="B57" s="90" t="s">
        <v>40</v>
      </c>
      <c r="C57" s="90"/>
      <c r="D57" s="13">
        <f>(15*2*3.92)-(D19*0.06)</f>
        <v>35.111400000000003</v>
      </c>
    </row>
    <row r="58" spans="1:4" x14ac:dyDescent="0.2">
      <c r="A58" s="34" t="s">
        <v>6</v>
      </c>
      <c r="B58" s="90" t="s">
        <v>41</v>
      </c>
      <c r="C58" s="90"/>
      <c r="D58" s="13">
        <f>16*15*0.85</f>
        <v>204</v>
      </c>
    </row>
    <row r="59" spans="1:4" x14ac:dyDescent="0.2">
      <c r="A59" s="34" t="s">
        <v>8</v>
      </c>
      <c r="B59" s="90" t="s">
        <v>110</v>
      </c>
      <c r="C59" s="90"/>
      <c r="D59" s="13">
        <v>50.98</v>
      </c>
    </row>
    <row r="60" spans="1:4" x14ac:dyDescent="0.2">
      <c r="A60" s="34" t="s">
        <v>10</v>
      </c>
      <c r="B60" s="90" t="s">
        <v>104</v>
      </c>
      <c r="C60" s="90"/>
      <c r="D60" s="13">
        <v>4.1500000000000004</v>
      </c>
    </row>
    <row r="61" spans="1:4" x14ac:dyDescent="0.2">
      <c r="A61" s="34" t="s">
        <v>12</v>
      </c>
      <c r="B61" s="90" t="s">
        <v>105</v>
      </c>
      <c r="C61" s="90"/>
      <c r="D61" s="13">
        <v>3.5</v>
      </c>
    </row>
    <row r="62" spans="1:4" x14ac:dyDescent="0.2">
      <c r="A62" s="34" t="s">
        <v>31</v>
      </c>
      <c r="B62" s="90" t="s">
        <v>111</v>
      </c>
      <c r="C62" s="90"/>
      <c r="D62" s="13"/>
    </row>
    <row r="63" spans="1:4" x14ac:dyDescent="0.2">
      <c r="A63" s="41" t="s">
        <v>14</v>
      </c>
      <c r="B63" s="90" t="s">
        <v>190</v>
      </c>
      <c r="C63" s="90"/>
      <c r="D63" s="13">
        <v>12.19</v>
      </c>
    </row>
    <row r="64" spans="1:4" x14ac:dyDescent="0.2">
      <c r="A64" s="89" t="s">
        <v>16</v>
      </c>
      <c r="B64" s="89"/>
      <c r="C64" s="89"/>
      <c r="D64" s="17">
        <f>SUM(D57:D63)</f>
        <v>309.9314</v>
      </c>
    </row>
    <row r="67" spans="1:4" x14ac:dyDescent="0.2">
      <c r="A67" s="99" t="s">
        <v>42</v>
      </c>
      <c r="B67" s="99"/>
      <c r="C67" s="99"/>
      <c r="D67" s="99"/>
    </row>
    <row r="69" spans="1:4" x14ac:dyDescent="0.2">
      <c r="A69" s="32">
        <v>2</v>
      </c>
      <c r="B69" s="98" t="s">
        <v>43</v>
      </c>
      <c r="C69" s="98"/>
      <c r="D69" s="32" t="s">
        <v>3</v>
      </c>
    </row>
    <row r="70" spans="1:4" x14ac:dyDescent="0.2">
      <c r="A70" s="34" t="s">
        <v>19</v>
      </c>
      <c r="B70" s="90" t="s">
        <v>20</v>
      </c>
      <c r="C70" s="90"/>
      <c r="D70" s="14">
        <f>D37</f>
        <v>437.22999999999996</v>
      </c>
    </row>
    <row r="71" spans="1:4" x14ac:dyDescent="0.2">
      <c r="A71" s="34" t="s">
        <v>23</v>
      </c>
      <c r="B71" s="90" t="s">
        <v>24</v>
      </c>
      <c r="C71" s="90"/>
      <c r="D71" s="14">
        <f>D51</f>
        <v>988.97000000000014</v>
      </c>
    </row>
    <row r="72" spans="1:4" x14ac:dyDescent="0.2">
      <c r="A72" s="34" t="s">
        <v>38</v>
      </c>
      <c r="B72" s="90" t="s">
        <v>39</v>
      </c>
      <c r="C72" s="90"/>
      <c r="D72" s="14">
        <f>D64</f>
        <v>309.9314</v>
      </c>
    </row>
    <row r="73" spans="1:4" x14ac:dyDescent="0.2">
      <c r="A73" s="89" t="s">
        <v>16</v>
      </c>
      <c r="B73" s="89"/>
      <c r="C73" s="89"/>
      <c r="D73" s="17">
        <f>SUM(D70:D72)</f>
        <v>1736.1314</v>
      </c>
    </row>
    <row r="74" spans="1:4" x14ac:dyDescent="0.2">
      <c r="A74" s="4"/>
    </row>
    <row r="76" spans="1:4" x14ac:dyDescent="0.2">
      <c r="A76" s="93" t="s">
        <v>44</v>
      </c>
      <c r="B76" s="93"/>
      <c r="C76" s="93"/>
      <c r="D76" s="93"/>
    </row>
    <row r="77" spans="1:4" ht="12.75" customHeight="1" x14ac:dyDescent="0.2"/>
    <row r="78" spans="1:4" x14ac:dyDescent="0.2">
      <c r="A78" s="32">
        <v>3</v>
      </c>
      <c r="B78" s="98" t="s">
        <v>45</v>
      </c>
      <c r="C78" s="98"/>
      <c r="D78" s="32" t="s">
        <v>3</v>
      </c>
    </row>
    <row r="79" spans="1:4" x14ac:dyDescent="0.2">
      <c r="A79" s="34" t="s">
        <v>4</v>
      </c>
      <c r="B79" s="10" t="s">
        <v>46</v>
      </c>
      <c r="C79" s="9">
        <f>TRUNC(((1/12)*5%),4)</f>
        <v>4.1000000000000003E-3</v>
      </c>
      <c r="D79" s="13">
        <f>TRUNC($D$26*C79,2)</f>
        <v>9.2200000000000006</v>
      </c>
    </row>
    <row r="80" spans="1:4" x14ac:dyDescent="0.2">
      <c r="A80" s="34" t="s">
        <v>6</v>
      </c>
      <c r="B80" s="10" t="s">
        <v>47</v>
      </c>
      <c r="C80" s="9">
        <v>0.08</v>
      </c>
      <c r="D80" s="13">
        <f>TRUNC(D79*C80,2)</f>
        <v>0.73</v>
      </c>
    </row>
    <row r="81" spans="1:4" x14ac:dyDescent="0.2">
      <c r="A81" s="34" t="s">
        <v>8</v>
      </c>
      <c r="B81" s="10" t="s">
        <v>48</v>
      </c>
      <c r="C81" s="9">
        <f>TRUNC(8%*5%*40%,4)</f>
        <v>1.6000000000000001E-3</v>
      </c>
      <c r="D81" s="13">
        <f>TRUNC($D$26*C81,2)</f>
        <v>3.6</v>
      </c>
    </row>
    <row r="82" spans="1:4" x14ac:dyDescent="0.2">
      <c r="A82" s="34" t="s">
        <v>10</v>
      </c>
      <c r="B82" s="10" t="s">
        <v>49</v>
      </c>
      <c r="C82" s="9">
        <f>TRUNC(((7/30)/12)*95%,4)</f>
        <v>1.84E-2</v>
      </c>
      <c r="D82" s="13">
        <f>TRUNC($D$26*C82,2)</f>
        <v>41.4</v>
      </c>
    </row>
    <row r="83" spans="1:4" ht="25.5" x14ac:dyDescent="0.2">
      <c r="A83" s="34" t="s">
        <v>12</v>
      </c>
      <c r="B83" s="10" t="s">
        <v>94</v>
      </c>
      <c r="C83" s="9">
        <f>C51</f>
        <v>0.36800000000000005</v>
      </c>
      <c r="D83" s="13">
        <f>TRUNC(D82*C83,2)</f>
        <v>15.23</v>
      </c>
    </row>
    <row r="84" spans="1:4" x14ac:dyDescent="0.2">
      <c r="A84" s="34" t="s">
        <v>31</v>
      </c>
      <c r="B84" s="10" t="s">
        <v>50</v>
      </c>
      <c r="C84" s="9">
        <f>TRUNC(8%*95%*40%,4)</f>
        <v>3.04E-2</v>
      </c>
      <c r="D84" s="13">
        <f t="shared" ref="D84" si="1">TRUNC($D$26*C84,2)</f>
        <v>68.400000000000006</v>
      </c>
    </row>
    <row r="85" spans="1:4" x14ac:dyDescent="0.2">
      <c r="A85" s="85" t="s">
        <v>16</v>
      </c>
      <c r="B85" s="97"/>
      <c r="C85" s="86"/>
      <c r="D85" s="17">
        <f>SUM(D79:D84)</f>
        <v>138.58000000000001</v>
      </c>
    </row>
    <row r="88" spans="1:4" x14ac:dyDescent="0.2">
      <c r="A88" s="93" t="s">
        <v>51</v>
      </c>
      <c r="B88" s="93"/>
      <c r="C88" s="93"/>
      <c r="D88" s="93"/>
    </row>
    <row r="91" spans="1:4" x14ac:dyDescent="0.2">
      <c r="A91" s="99" t="s">
        <v>78</v>
      </c>
      <c r="B91" s="99"/>
      <c r="C91" s="99"/>
      <c r="D91" s="99"/>
    </row>
    <row r="92" spans="1:4" x14ac:dyDescent="0.2">
      <c r="A92" s="3"/>
    </row>
    <row r="93" spans="1:4" x14ac:dyDescent="0.2">
      <c r="A93" s="32" t="s">
        <v>52</v>
      </c>
      <c r="B93" s="98" t="s">
        <v>79</v>
      </c>
      <c r="C93" s="98"/>
      <c r="D93" s="32" t="s">
        <v>3</v>
      </c>
    </row>
    <row r="94" spans="1:4" x14ac:dyDescent="0.2">
      <c r="A94" s="34" t="s">
        <v>4</v>
      </c>
      <c r="B94" s="31" t="s">
        <v>80</v>
      </c>
      <c r="C94" s="9">
        <f>TRUNC(((1+1/3)/12)/12,4)</f>
        <v>9.1999999999999998E-3</v>
      </c>
      <c r="D94" s="13">
        <f t="shared" ref="D94:D99" si="2">TRUNC(($D$26+$D$73+$D$85)*C94,2)</f>
        <v>37.950000000000003</v>
      </c>
    </row>
    <row r="95" spans="1:4" x14ac:dyDescent="0.2">
      <c r="A95" s="34" t="s">
        <v>6</v>
      </c>
      <c r="B95" s="31" t="s">
        <v>81</v>
      </c>
      <c r="C95" s="9">
        <f>TRUNC(((2/30)/12),4)</f>
        <v>5.4999999999999997E-3</v>
      </c>
      <c r="D95" s="13">
        <f t="shared" si="2"/>
        <v>22.68</v>
      </c>
    </row>
    <row r="96" spans="1:4" x14ac:dyDescent="0.2">
      <c r="A96" s="34" t="s">
        <v>8</v>
      </c>
      <c r="B96" s="31" t="s">
        <v>82</v>
      </c>
      <c r="C96" s="9">
        <f>TRUNC(((5/30)/12)*2%,4)</f>
        <v>2.0000000000000001E-4</v>
      </c>
      <c r="D96" s="13">
        <f t="shared" si="2"/>
        <v>0.82</v>
      </c>
    </row>
    <row r="97" spans="1:4" x14ac:dyDescent="0.2">
      <c r="A97" s="34" t="s">
        <v>10</v>
      </c>
      <c r="B97" s="31" t="s">
        <v>83</v>
      </c>
      <c r="C97" s="9">
        <f>TRUNC(((15/30)/12)*8%,4)</f>
        <v>3.3E-3</v>
      </c>
      <c r="D97" s="13">
        <f t="shared" si="2"/>
        <v>13.61</v>
      </c>
    </row>
    <row r="98" spans="1:4" x14ac:dyDescent="0.2">
      <c r="A98" s="34" t="s">
        <v>12</v>
      </c>
      <c r="B98" s="31" t="s">
        <v>84</v>
      </c>
      <c r="C98" s="9">
        <f>((1+1/3)/12)*3%*(4/12)</f>
        <v>1.1111111111111109E-3</v>
      </c>
      <c r="D98" s="13">
        <f t="shared" si="2"/>
        <v>4.58</v>
      </c>
    </row>
    <row r="99" spans="1:4" x14ac:dyDescent="0.2">
      <c r="A99" s="34" t="s">
        <v>31</v>
      </c>
      <c r="B99" s="31" t="s">
        <v>85</v>
      </c>
      <c r="C99" s="9"/>
      <c r="D99" s="13">
        <f t="shared" si="2"/>
        <v>0</v>
      </c>
    </row>
    <row r="100" spans="1:4" x14ac:dyDescent="0.2">
      <c r="A100" s="89" t="s">
        <v>36</v>
      </c>
      <c r="B100" s="89"/>
      <c r="C100" s="89"/>
      <c r="D100" s="17">
        <f>SUM(D94:D99)</f>
        <v>79.64</v>
      </c>
    </row>
    <row r="103" spans="1:4" x14ac:dyDescent="0.2">
      <c r="A103" s="99" t="s">
        <v>86</v>
      </c>
      <c r="B103" s="99"/>
      <c r="C103" s="99"/>
      <c r="D103" s="99"/>
    </row>
    <row r="104" spans="1:4" x14ac:dyDescent="0.2">
      <c r="A104" s="3"/>
    </row>
    <row r="105" spans="1:4" x14ac:dyDescent="0.2">
      <c r="A105" s="32" t="s">
        <v>53</v>
      </c>
      <c r="B105" s="98" t="s">
        <v>87</v>
      </c>
      <c r="C105" s="98"/>
      <c r="D105" s="32" t="s">
        <v>3</v>
      </c>
    </row>
    <row r="106" spans="1:4" x14ac:dyDescent="0.2">
      <c r="A106" s="34" t="s">
        <v>4</v>
      </c>
      <c r="B106" s="94" t="s">
        <v>88</v>
      </c>
      <c r="C106" s="95"/>
      <c r="D106" s="13">
        <f>((D26+D73+D85)/220)*22*0</f>
        <v>0</v>
      </c>
    </row>
    <row r="107" spans="1:4" x14ac:dyDescent="0.2">
      <c r="A107" s="89" t="s">
        <v>16</v>
      </c>
      <c r="B107" s="89"/>
      <c r="C107" s="89"/>
      <c r="D107" s="17">
        <f>SUM(D106)</f>
        <v>0</v>
      </c>
    </row>
    <row r="110" spans="1:4" x14ac:dyDescent="0.2">
      <c r="A110" s="99" t="s">
        <v>54</v>
      </c>
      <c r="B110" s="99"/>
      <c r="C110" s="99"/>
      <c r="D110" s="99"/>
    </row>
    <row r="111" spans="1:4" x14ac:dyDescent="0.2">
      <c r="A111" s="3"/>
    </row>
    <row r="112" spans="1:4" x14ac:dyDescent="0.2">
      <c r="A112" s="32">
        <v>4</v>
      </c>
      <c r="B112" s="89" t="s">
        <v>55</v>
      </c>
      <c r="C112" s="89"/>
      <c r="D112" s="32" t="s">
        <v>3</v>
      </c>
    </row>
    <row r="113" spans="1:4" x14ac:dyDescent="0.2">
      <c r="A113" s="34" t="s">
        <v>52</v>
      </c>
      <c r="B113" s="90" t="s">
        <v>79</v>
      </c>
      <c r="C113" s="90"/>
      <c r="D113" s="14">
        <f>D100</f>
        <v>79.64</v>
      </c>
    </row>
    <row r="114" spans="1:4" x14ac:dyDescent="0.2">
      <c r="A114" s="34" t="s">
        <v>53</v>
      </c>
      <c r="B114" s="90" t="s">
        <v>87</v>
      </c>
      <c r="C114" s="90"/>
      <c r="D114" s="14">
        <f>D107</f>
        <v>0</v>
      </c>
    </row>
    <row r="115" spans="1:4" x14ac:dyDescent="0.2">
      <c r="A115" s="89" t="s">
        <v>16</v>
      </c>
      <c r="B115" s="89"/>
      <c r="C115" s="89"/>
      <c r="D115" s="17">
        <f>SUM(D113:D114)</f>
        <v>79.64</v>
      </c>
    </row>
    <row r="118" spans="1:4" x14ac:dyDescent="0.2">
      <c r="A118" s="93" t="s">
        <v>56</v>
      </c>
      <c r="B118" s="93"/>
      <c r="C118" s="93"/>
      <c r="D118" s="93"/>
    </row>
    <row r="120" spans="1:4" x14ac:dyDescent="0.2">
      <c r="A120" s="32">
        <v>5</v>
      </c>
      <c r="B120" s="96" t="s">
        <v>57</v>
      </c>
      <c r="C120" s="96"/>
      <c r="D120" s="32" t="s">
        <v>3</v>
      </c>
    </row>
    <row r="121" spans="1:4" x14ac:dyDescent="0.2">
      <c r="A121" s="34" t="s">
        <v>4</v>
      </c>
      <c r="B121" s="31" t="s">
        <v>58</v>
      </c>
      <c r="C121" s="31"/>
      <c r="D121" s="13">
        <v>151.96</v>
      </c>
    </row>
    <row r="122" spans="1:4" x14ac:dyDescent="0.2">
      <c r="A122" s="34" t="s">
        <v>6</v>
      </c>
      <c r="B122" s="31" t="s">
        <v>59</v>
      </c>
      <c r="C122" s="31"/>
      <c r="D122" s="13">
        <v>2.39</v>
      </c>
    </row>
    <row r="123" spans="1:4" x14ac:dyDescent="0.2">
      <c r="A123" s="34" t="s">
        <v>8</v>
      </c>
      <c r="B123" s="31" t="s">
        <v>60</v>
      </c>
      <c r="C123" s="31"/>
      <c r="D123" s="13">
        <v>22.25</v>
      </c>
    </row>
    <row r="124" spans="1:4" x14ac:dyDescent="0.2">
      <c r="A124" s="34" t="s">
        <v>10</v>
      </c>
      <c r="B124" s="31" t="s">
        <v>191</v>
      </c>
      <c r="C124" s="31"/>
      <c r="D124" s="13">
        <v>98.94</v>
      </c>
    </row>
    <row r="125" spans="1:4" x14ac:dyDescent="0.2">
      <c r="A125" s="84" t="s">
        <v>12</v>
      </c>
      <c r="B125" s="83" t="s">
        <v>193</v>
      </c>
      <c r="C125" s="83"/>
      <c r="D125" s="13">
        <v>50.64</v>
      </c>
    </row>
    <row r="126" spans="1:4" x14ac:dyDescent="0.2">
      <c r="A126" s="89" t="s">
        <v>36</v>
      </c>
      <c r="B126" s="89"/>
      <c r="C126" s="89"/>
      <c r="D126" s="18">
        <f>SUM(D121:D125)</f>
        <v>326.17999999999995</v>
      </c>
    </row>
    <row r="129" spans="1:4" x14ac:dyDescent="0.2">
      <c r="A129" s="93" t="s">
        <v>61</v>
      </c>
      <c r="B129" s="93"/>
      <c r="C129" s="93"/>
      <c r="D129" s="93"/>
    </row>
    <row r="131" spans="1:4" x14ac:dyDescent="0.2">
      <c r="A131" s="32">
        <v>6</v>
      </c>
      <c r="B131" s="33" t="s">
        <v>62</v>
      </c>
      <c r="C131" s="32" t="s">
        <v>25</v>
      </c>
      <c r="D131" s="32" t="s">
        <v>3</v>
      </c>
    </row>
    <row r="132" spans="1:4" x14ac:dyDescent="0.2">
      <c r="A132" s="34" t="s">
        <v>4</v>
      </c>
      <c r="B132" s="31" t="s">
        <v>63</v>
      </c>
      <c r="C132" s="9">
        <v>0.06</v>
      </c>
      <c r="D132" s="14">
        <f>D152*C132</f>
        <v>271.85072427272729</v>
      </c>
    </row>
    <row r="133" spans="1:4" x14ac:dyDescent="0.2">
      <c r="A133" s="34" t="s">
        <v>6</v>
      </c>
      <c r="B133" s="31" t="s">
        <v>64</v>
      </c>
      <c r="C133" s="9">
        <v>6.7900000000000002E-2</v>
      </c>
      <c r="D133" s="13">
        <f>(D152+D132)*C133</f>
        <v>326.10306714675454</v>
      </c>
    </row>
    <row r="134" spans="1:4" x14ac:dyDescent="0.2">
      <c r="A134" s="34" t="s">
        <v>8</v>
      </c>
      <c r="B134" s="31" t="s">
        <v>65</v>
      </c>
      <c r="C134" s="12">
        <f>SUM(C135:C140)</f>
        <v>8.6499999999999994E-2</v>
      </c>
      <c r="D134" s="13">
        <f>(D152+D132+D133)*C134/(1-C134)</f>
        <v>485.64984176351061</v>
      </c>
    </row>
    <row r="135" spans="1:4" x14ac:dyDescent="0.2">
      <c r="A135" s="34"/>
      <c r="B135" s="31" t="s">
        <v>66</v>
      </c>
      <c r="C135" s="9"/>
      <c r="D135" s="14">
        <f>$D$154*C135</f>
        <v>0</v>
      </c>
    </row>
    <row r="136" spans="1:4" x14ac:dyDescent="0.2">
      <c r="A136" s="34"/>
      <c r="B136" s="31" t="s">
        <v>96</v>
      </c>
      <c r="C136" s="9">
        <v>6.4999999999999997E-3</v>
      </c>
      <c r="D136" s="14">
        <f t="shared" ref="D136:D140" si="3">$D$154*C136</f>
        <v>36.493918745234907</v>
      </c>
    </row>
    <row r="137" spans="1:4" x14ac:dyDescent="0.2">
      <c r="A137" s="34"/>
      <c r="B137" s="31" t="s">
        <v>97</v>
      </c>
      <c r="C137" s="9">
        <v>0.03</v>
      </c>
      <c r="D137" s="14">
        <f t="shared" si="3"/>
        <v>168.43347113185342</v>
      </c>
    </row>
    <row r="138" spans="1:4" x14ac:dyDescent="0.2">
      <c r="A138" s="34"/>
      <c r="B138" s="31" t="s">
        <v>67</v>
      </c>
      <c r="C138" s="34"/>
      <c r="D138" s="14">
        <f t="shared" si="3"/>
        <v>0</v>
      </c>
    </row>
    <row r="139" spans="1:4" x14ac:dyDescent="0.2">
      <c r="A139" s="34"/>
      <c r="B139" s="31" t="s">
        <v>68</v>
      </c>
      <c r="C139" s="9"/>
      <c r="D139" s="14">
        <f t="shared" si="3"/>
        <v>0</v>
      </c>
    </row>
    <row r="140" spans="1:4" x14ac:dyDescent="0.2">
      <c r="A140" s="34"/>
      <c r="B140" s="31" t="s">
        <v>98</v>
      </c>
      <c r="C140" s="9">
        <v>0.05</v>
      </c>
      <c r="D140" s="14">
        <f t="shared" si="3"/>
        <v>280.72245188642239</v>
      </c>
    </row>
    <row r="141" spans="1:4" ht="13.5" x14ac:dyDescent="0.2">
      <c r="A141" s="85" t="s">
        <v>36</v>
      </c>
      <c r="B141" s="97"/>
      <c r="C141" s="19">
        <f>(1+C133)*(1+C132)/(1-C134)-1</f>
        <v>0.2391614668856048</v>
      </c>
      <c r="D141" s="17">
        <f>SUM(D132:D134)</f>
        <v>1083.6036331829923</v>
      </c>
    </row>
    <row r="144" spans="1:4" x14ac:dyDescent="0.2">
      <c r="A144" s="93" t="s">
        <v>69</v>
      </c>
      <c r="B144" s="93"/>
      <c r="C144" s="93"/>
      <c r="D144" s="93"/>
    </row>
    <row r="146" spans="1:4" x14ac:dyDescent="0.2">
      <c r="A146" s="32"/>
      <c r="B146" s="89" t="s">
        <v>70</v>
      </c>
      <c r="C146" s="89"/>
      <c r="D146" s="32" t="s">
        <v>3</v>
      </c>
    </row>
    <row r="147" spans="1:4" x14ac:dyDescent="0.2">
      <c r="A147" s="32" t="s">
        <v>4</v>
      </c>
      <c r="B147" s="90" t="s">
        <v>1</v>
      </c>
      <c r="C147" s="90"/>
      <c r="D147" s="20">
        <f>D26</f>
        <v>2250.3140045454543</v>
      </c>
    </row>
    <row r="148" spans="1:4" x14ac:dyDescent="0.2">
      <c r="A148" s="32" t="s">
        <v>6</v>
      </c>
      <c r="B148" s="90" t="s">
        <v>17</v>
      </c>
      <c r="C148" s="90"/>
      <c r="D148" s="20">
        <f>D73</f>
        <v>1736.1314</v>
      </c>
    </row>
    <row r="149" spans="1:4" x14ac:dyDescent="0.2">
      <c r="A149" s="32" t="s">
        <v>8</v>
      </c>
      <c r="B149" s="90" t="s">
        <v>44</v>
      </c>
      <c r="C149" s="90"/>
      <c r="D149" s="20">
        <f>D85</f>
        <v>138.58000000000001</v>
      </c>
    </row>
    <row r="150" spans="1:4" x14ac:dyDescent="0.2">
      <c r="A150" s="32" t="s">
        <v>10</v>
      </c>
      <c r="B150" s="90" t="s">
        <v>51</v>
      </c>
      <c r="C150" s="90"/>
      <c r="D150" s="20">
        <f>D115</f>
        <v>79.64</v>
      </c>
    </row>
    <row r="151" spans="1:4" x14ac:dyDescent="0.2">
      <c r="A151" s="32" t="s">
        <v>12</v>
      </c>
      <c r="B151" s="90" t="s">
        <v>56</v>
      </c>
      <c r="C151" s="90"/>
      <c r="D151" s="20">
        <f>D126</f>
        <v>326.17999999999995</v>
      </c>
    </row>
    <row r="152" spans="1:4" x14ac:dyDescent="0.2">
      <c r="A152" s="89" t="s">
        <v>95</v>
      </c>
      <c r="B152" s="89"/>
      <c r="C152" s="89"/>
      <c r="D152" s="21">
        <f>SUM(D147:D151)</f>
        <v>4530.8454045454546</v>
      </c>
    </row>
    <row r="153" spans="1:4" x14ac:dyDescent="0.2">
      <c r="A153" s="32" t="s">
        <v>31</v>
      </c>
      <c r="B153" s="90" t="s">
        <v>71</v>
      </c>
      <c r="C153" s="90"/>
      <c r="D153" s="22">
        <f>D141</f>
        <v>1083.6036331829923</v>
      </c>
    </row>
    <row r="154" spans="1:4" x14ac:dyDescent="0.2">
      <c r="A154" s="89" t="s">
        <v>72</v>
      </c>
      <c r="B154" s="89"/>
      <c r="C154" s="89"/>
      <c r="D154" s="21">
        <f>SUM(D152:D153)</f>
        <v>5614.4490377284474</v>
      </c>
    </row>
  </sheetData>
  <mergeCells count="73">
    <mergeCell ref="A152:C152"/>
    <mergeCell ref="B153:C153"/>
    <mergeCell ref="A154:C154"/>
    <mergeCell ref="B146:C146"/>
    <mergeCell ref="B147:C147"/>
    <mergeCell ref="B148:C148"/>
    <mergeCell ref="B149:C149"/>
    <mergeCell ref="B150:C150"/>
    <mergeCell ref="B151:C151"/>
    <mergeCell ref="A144:D144"/>
    <mergeCell ref="A107:C107"/>
    <mergeCell ref="A110:D110"/>
    <mergeCell ref="B112:C112"/>
    <mergeCell ref="B113:C113"/>
    <mergeCell ref="B114:C114"/>
    <mergeCell ref="A115:C115"/>
    <mergeCell ref="A118:D118"/>
    <mergeCell ref="B120:C120"/>
    <mergeCell ref="A126:C126"/>
    <mergeCell ref="A129:D129"/>
    <mergeCell ref="A141:B141"/>
    <mergeCell ref="B106:C106"/>
    <mergeCell ref="B72:C72"/>
    <mergeCell ref="A73:C73"/>
    <mergeCell ref="A76:D76"/>
    <mergeCell ref="B78:C78"/>
    <mergeCell ref="A85:C85"/>
    <mergeCell ref="A88:D88"/>
    <mergeCell ref="A91:D91"/>
    <mergeCell ref="B93:C93"/>
    <mergeCell ref="A100:C100"/>
    <mergeCell ref="A103:D103"/>
    <mergeCell ref="B105:C105"/>
    <mergeCell ref="B71:C71"/>
    <mergeCell ref="B59:C59"/>
    <mergeCell ref="B60:C60"/>
    <mergeCell ref="B61:C61"/>
    <mergeCell ref="B62:C62"/>
    <mergeCell ref="A64:C64"/>
    <mergeCell ref="A67:D67"/>
    <mergeCell ref="B69:C69"/>
    <mergeCell ref="B70:C70"/>
    <mergeCell ref="B63:C63"/>
    <mergeCell ref="B58:C58"/>
    <mergeCell ref="B25:C25"/>
    <mergeCell ref="A26:C26"/>
    <mergeCell ref="A29:D29"/>
    <mergeCell ref="A31:D31"/>
    <mergeCell ref="B33:C33"/>
    <mergeCell ref="A37:B37"/>
    <mergeCell ref="A40:D40"/>
    <mergeCell ref="A51:B51"/>
    <mergeCell ref="A54:D54"/>
    <mergeCell ref="B56:C56"/>
    <mergeCell ref="B57:C57"/>
    <mergeCell ref="B24:C24"/>
    <mergeCell ref="C11:D11"/>
    <mergeCell ref="C12:D12"/>
    <mergeCell ref="C13:D13"/>
    <mergeCell ref="C14:D14"/>
    <mergeCell ref="A16:D16"/>
    <mergeCell ref="B18:C18"/>
    <mergeCell ref="B19:C19"/>
    <mergeCell ref="B20:C20"/>
    <mergeCell ref="B21:C21"/>
    <mergeCell ref="B22:C22"/>
    <mergeCell ref="B23:C23"/>
    <mergeCell ref="C10:D10"/>
    <mergeCell ref="A1:D1"/>
    <mergeCell ref="A3:D3"/>
    <mergeCell ref="A5:B5"/>
    <mergeCell ref="A6:B6"/>
    <mergeCell ref="A8:D8"/>
  </mergeCells>
  <pageMargins left="0.511811024" right="0.511811024" top="0.78740157499999996" bottom="0.78740157499999996" header="0.31496062000000002" footer="0.31496062000000002"/>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3</vt:i4>
      </vt:variant>
    </vt:vector>
  </HeadingPairs>
  <TitlesOfParts>
    <vt:vector size="19" baseType="lpstr">
      <vt:lpstr>superv44</vt:lpstr>
      <vt:lpstr>fiscal1236d</vt:lpstr>
      <vt:lpstr>fiscal1236n</vt:lpstr>
      <vt:lpstr>vig44ssasoc</vt:lpstr>
      <vt:lpstr>vig44ssatat</vt:lpstr>
      <vt:lpstr>vig1236dssa</vt:lpstr>
      <vt:lpstr>vig1236nssa</vt:lpstr>
      <vt:lpstr>vig44int</vt:lpstr>
      <vt:lpstr>vig1236nint</vt:lpstr>
      <vt:lpstr>vig1236dint</vt:lpstr>
      <vt:lpstr>vig44ssatat_ad</vt:lpstr>
      <vt:lpstr>vig44int_ad</vt:lpstr>
      <vt:lpstr>vig1236dint_ad</vt:lpstr>
      <vt:lpstr>vig1236nint_ad</vt:lpstr>
      <vt:lpstr>horaextra</vt:lpstr>
      <vt:lpstr>total_proposta</vt:lpstr>
      <vt:lpstr>total_proposta!Area_de_impressao</vt:lpstr>
      <vt:lpstr>horaextra!Titulos_de_impressao</vt:lpstr>
      <vt:lpstr>total_proposta!Titulos_de_impressao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Grace Lane Gama Bulcão</cp:lastModifiedBy>
  <cp:lastPrinted>2023-10-30T18:50:52Z</cp:lastPrinted>
  <dcterms:created xsi:type="dcterms:W3CDTF">2019-01-29T18:54:26Z</dcterms:created>
  <dcterms:modified xsi:type="dcterms:W3CDTF">2023-10-30T18:51:24Z</dcterms:modified>
</cp:coreProperties>
</file>